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Z:\Challenges\Essential 8\E8 Report card\"/>
    </mc:Choice>
  </mc:AlternateContent>
  <xr:revisionPtr revIDLastSave="0" documentId="13_ncr:1_{6C8A9912-3C45-4430-9D79-9A71B81C49AE}" xr6:coauthVersionLast="47" xr6:coauthVersionMax="47" xr10:uidLastSave="{00000000-0000-0000-0000-000000000000}"/>
  <bookViews>
    <workbookView xWindow="-110" yWindow="-110" windowWidth="19420" windowHeight="10300" xr2:uid="{C6B2D393-E0EE-4745-81A7-BA0F48E146DE}"/>
  </bookViews>
  <sheets>
    <sheet name="ReportCard" sheetId="2" r:id="rId1"/>
    <sheet name="SleepFactorEval" sheetId="1" r:id="rId2"/>
    <sheet name="DietFactorEval" sheetId="3" r:id="rId3"/>
    <sheet name="ExerciseFactorEval" sheetId="4" r:id="rId4"/>
    <sheet name="LipidsFactorEval" sheetId="5" r:id="rId5"/>
    <sheet name="GlucoseFactorEval" sheetId="6" r:id="rId6"/>
    <sheet name="BloodPressureFactorEval" sheetId="7" r:id="rId7"/>
    <sheet name="BodyCompositionFactorEval" sheetId="8" r:id="rId8"/>
    <sheet name="NicotineFactorEval" sheetId="10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0" l="1"/>
  <c r="E10" i="10"/>
  <c r="E17" i="8"/>
  <c r="E15" i="8"/>
  <c r="E14" i="8"/>
  <c r="E13" i="8"/>
  <c r="E42" i="4"/>
  <c r="E22" i="8"/>
  <c r="E21" i="8"/>
  <c r="E20" i="8"/>
  <c r="E18" i="8"/>
  <c r="E10" i="8"/>
  <c r="E11" i="8"/>
  <c r="E14" i="4"/>
  <c r="E8" i="4"/>
  <c r="E18" i="10"/>
  <c r="E17" i="10"/>
  <c r="E16" i="10"/>
  <c r="E15" i="10"/>
  <c r="E14" i="10"/>
  <c r="E13" i="10"/>
  <c r="E8" i="10"/>
  <c r="E9" i="10"/>
  <c r="E6" i="10"/>
  <c r="E5" i="10"/>
  <c r="E4" i="10"/>
  <c r="E3" i="10"/>
  <c r="E26" i="10"/>
  <c r="E25" i="10"/>
  <c r="E24" i="10"/>
  <c r="E23" i="10"/>
  <c r="E22" i="10"/>
  <c r="E21" i="10"/>
  <c r="E20" i="10"/>
  <c r="E30" i="8"/>
  <c r="E26" i="8"/>
  <c r="E25" i="8"/>
  <c r="E24" i="8"/>
  <c r="E4" i="8"/>
  <c r="E6" i="8"/>
  <c r="E8" i="8"/>
  <c r="E7" i="8"/>
  <c r="E5" i="8"/>
  <c r="E3" i="8"/>
  <c r="E4" i="7"/>
  <c r="E12" i="7"/>
  <c r="E13" i="7"/>
  <c r="E11" i="7"/>
  <c r="E10" i="7"/>
  <c r="E16" i="7"/>
  <c r="E15" i="7"/>
  <c r="E17" i="7"/>
  <c r="E9" i="7"/>
  <c r="E8" i="7"/>
  <c r="E6" i="7"/>
  <c r="E3" i="7"/>
  <c r="E18" i="6"/>
  <c r="E16" i="6"/>
  <c r="E8" i="6"/>
  <c r="E7" i="6"/>
  <c r="E6" i="6"/>
  <c r="E5" i="6"/>
  <c r="E3" i="6"/>
  <c r="E38" i="3"/>
  <c r="E17" i="3"/>
  <c r="E16" i="3"/>
  <c r="E4" i="3"/>
  <c r="E41" i="1"/>
  <c r="E19" i="1"/>
  <c r="E24" i="1"/>
  <c r="E11" i="5"/>
  <c r="E8" i="5"/>
  <c r="E10" i="5"/>
  <c r="E9" i="5"/>
  <c r="E7" i="5"/>
  <c r="E39" i="1"/>
  <c r="E5" i="5"/>
  <c r="E4" i="5"/>
  <c r="E3" i="5"/>
  <c r="E3" i="4"/>
  <c r="E45" i="4"/>
  <c r="E43" i="4"/>
  <c r="E41" i="4"/>
  <c r="E39" i="4"/>
  <c r="E38" i="4"/>
  <c r="E37" i="4"/>
  <c r="E36" i="4"/>
  <c r="E35" i="4"/>
  <c r="E34" i="4"/>
  <c r="E33" i="4"/>
  <c r="E32" i="4"/>
  <c r="E25" i="4"/>
  <c r="E16" i="4"/>
  <c r="E30" i="4"/>
  <c r="E21" i="4"/>
  <c r="E11" i="4"/>
  <c r="E29" i="4"/>
  <c r="E28" i="4"/>
  <c r="E27" i="4"/>
  <c r="E26" i="4"/>
  <c r="E24" i="4"/>
  <c r="E23" i="4"/>
  <c r="E20" i="4"/>
  <c r="E19" i="4"/>
  <c r="E18" i="4"/>
  <c r="E17" i="4"/>
  <c r="E12" i="4"/>
  <c r="E10" i="4"/>
  <c r="E9" i="4"/>
  <c r="E6" i="4"/>
  <c r="E5" i="4"/>
  <c r="E4" i="4"/>
  <c r="E47" i="3"/>
  <c r="E46" i="3"/>
  <c r="E45" i="3"/>
  <c r="E43" i="3"/>
  <c r="E42" i="3"/>
  <c r="E41" i="3"/>
  <c r="E40" i="3"/>
  <c r="E37" i="3"/>
  <c r="E36" i="3"/>
  <c r="E35" i="3"/>
  <c r="E34" i="3"/>
  <c r="E33" i="3"/>
  <c r="E32" i="3"/>
  <c r="E31" i="3"/>
  <c r="E30" i="3"/>
  <c r="E28" i="3"/>
  <c r="E25" i="3"/>
  <c r="E24" i="3"/>
  <c r="E23" i="3"/>
  <c r="E22" i="3"/>
  <c r="E21" i="3"/>
  <c r="E20" i="3"/>
  <c r="E19" i="3"/>
  <c r="E18" i="3"/>
  <c r="E14" i="3"/>
  <c r="E13" i="3"/>
  <c r="E12" i="3"/>
  <c r="E11" i="3"/>
  <c r="E10" i="3"/>
  <c r="E6" i="3"/>
  <c r="E5" i="3"/>
  <c r="E3" i="3"/>
  <c r="E9" i="3"/>
  <c r="E8" i="3"/>
  <c r="E7" i="3"/>
  <c r="E16" i="8"/>
  <c r="E12" i="8"/>
  <c r="E7" i="7"/>
  <c r="E17" i="6"/>
  <c r="E46" i="4"/>
  <c r="E44" i="4"/>
  <c r="E15" i="4"/>
  <c r="E48" i="3"/>
  <c r="E39" i="3"/>
  <c r="E29" i="3"/>
  <c r="E26" i="3"/>
  <c r="E46" i="1"/>
  <c r="E45" i="1"/>
  <c r="E44" i="1"/>
  <c r="E43" i="1"/>
  <c r="E42" i="1"/>
  <c r="E38" i="1"/>
  <c r="E37" i="1"/>
  <c r="E36" i="1"/>
  <c r="E35" i="1"/>
  <c r="E34" i="1"/>
  <c r="E32" i="1"/>
  <c r="E31" i="1"/>
  <c r="E30" i="1"/>
  <c r="E29" i="1"/>
  <c r="E28" i="1"/>
  <c r="E27" i="1"/>
  <c r="E26" i="1"/>
  <c r="E25" i="1"/>
  <c r="E23" i="1"/>
  <c r="E21" i="1"/>
  <c r="E20" i="1"/>
  <c r="E18" i="1"/>
  <c r="E16" i="1"/>
  <c r="E15" i="1"/>
  <c r="E14" i="1"/>
  <c r="E13" i="1"/>
  <c r="E12" i="1"/>
  <c r="E11" i="1"/>
  <c r="E10" i="1"/>
  <c r="E9" i="1"/>
  <c r="E8" i="1"/>
  <c r="E7" i="1"/>
  <c r="E6" i="1"/>
  <c r="E5" i="1"/>
  <c r="E3" i="1"/>
  <c r="E27" i="10" l="1"/>
  <c r="E28" i="10" s="1"/>
  <c r="C11" i="2" s="1"/>
  <c r="H30" i="8" s="1"/>
  <c r="E47" i="4"/>
  <c r="E48" i="4" s="1"/>
  <c r="E49" i="3"/>
  <c r="E50" i="3" s="1"/>
  <c r="E48" i="1"/>
  <c r="E49" i="1" s="1"/>
  <c r="C4" i="2" s="1"/>
  <c r="H20" i="10" l="1"/>
  <c r="D23" i="7"/>
  <c r="E23" i="7" s="1"/>
  <c r="H24" i="8"/>
  <c r="D22" i="7"/>
  <c r="E22" i="7" s="1"/>
  <c r="D16" i="5"/>
  <c r="E16" i="5" s="1"/>
  <c r="C6" i="2"/>
  <c r="C5" i="2"/>
  <c r="H25" i="8" l="1"/>
  <c r="H21" i="10"/>
  <c r="H26" i="8"/>
  <c r="H22" i="10"/>
  <c r="D13" i="5"/>
  <c r="E13" i="5" s="1"/>
  <c r="D10" i="6"/>
  <c r="E10" i="6" s="1"/>
  <c r="D19" i="7"/>
  <c r="E19" i="7" s="1"/>
  <c r="D20" i="7"/>
  <c r="E20" i="7" s="1"/>
  <c r="D14" i="5"/>
  <c r="E14" i="5" s="1"/>
  <c r="D11" i="6"/>
  <c r="E11" i="6" s="1"/>
  <c r="E28" i="8"/>
  <c r="E29" i="8"/>
  <c r="E27" i="8"/>
  <c r="E31" i="8" l="1"/>
  <c r="E32" i="8" l="1"/>
  <c r="C10" i="2" s="1"/>
  <c r="H26" i="10" s="1"/>
  <c r="D12" i="6" l="1"/>
  <c r="E12" i="6" s="1"/>
  <c r="D15" i="5"/>
  <c r="E15" i="5" s="1"/>
  <c r="E18" i="5" s="1"/>
  <c r="D21" i="7"/>
  <c r="E21" i="7" s="1"/>
  <c r="E25" i="7" s="1"/>
  <c r="E19" i="5" l="1"/>
  <c r="C7" i="2" s="1"/>
  <c r="H27" i="8" s="1"/>
  <c r="E26" i="7"/>
  <c r="C9" i="2" s="1"/>
  <c r="D13" i="6" s="1"/>
  <c r="E13" i="6" s="1"/>
  <c r="D14" i="6" l="1"/>
  <c r="E14" i="6" s="1"/>
  <c r="E20" i="6" s="1"/>
  <c r="E21" i="6" s="1"/>
  <c r="H23" i="10"/>
  <c r="H29" i="8"/>
  <c r="H25" i="10"/>
  <c r="C8" i="2" l="1"/>
  <c r="H28" i="8" l="1"/>
  <c r="H24" i="10"/>
</calcChain>
</file>

<file path=xl/sharedStrings.xml><?xml version="1.0" encoding="utf-8"?>
<sst xmlns="http://schemas.openxmlformats.org/spreadsheetml/2006/main" count="575" uniqueCount="304">
  <si>
    <t>Q#</t>
  </si>
  <si>
    <t>Sleep Category</t>
  </si>
  <si>
    <t>Factor</t>
  </si>
  <si>
    <t>Your Answer</t>
  </si>
  <si>
    <t>Points (Auto-Calculated)</t>
  </si>
  <si>
    <t>Sleep Duration:</t>
  </si>
  <si>
    <t>Overall, how much sleep do you get each night?</t>
  </si>
  <si>
    <t>7–9 hrs</t>
  </si>
  <si>
    <t>Sleep Schedule Consistency:</t>
  </si>
  <si>
    <t>-</t>
  </si>
  <si>
    <t>&lt;1 hour variation</t>
  </si>
  <si>
    <t>Yes</t>
  </si>
  <si>
    <t>Never</t>
  </si>
  <si>
    <t>Do you have difficulty falling asleep at bedtime?</t>
  </si>
  <si>
    <t>After falling asleep, I wake up before my intended wake time.</t>
  </si>
  <si>
    <t>I am a "light sleeper" waking up for sounds, light, movement, etc.</t>
  </si>
  <si>
    <t>I wake up from sleep to go to the bathroom.</t>
  </si>
  <si>
    <t>When I awake before my intended wake time, I have difficulty going back to sleep.</t>
  </si>
  <si>
    <t>I wake up without the use of an alarm clock.</t>
  </si>
  <si>
    <t>I have a consistent wake time.</t>
  </si>
  <si>
    <t>Often</t>
  </si>
  <si>
    <t>I keep my bedtime and wake time consistent on weekends.</t>
  </si>
  <si>
    <t>Sleep Disorder(s):</t>
  </si>
  <si>
    <t>No</t>
  </si>
  <si>
    <t>Do you snore when you sleep?</t>
  </si>
  <si>
    <t>Do you ever wake yourself up snoring?</t>
  </si>
  <si>
    <t>How often have you been told that you stop or pause breathing while sleeping?</t>
  </si>
  <si>
    <t>Daytime Sleepiness:</t>
  </si>
  <si>
    <t>How often are you sleepy or very drowsy during a typical day?</t>
  </si>
  <si>
    <t>I take a nap (or sometimes two) daily.</t>
  </si>
  <si>
    <t>I fall asleep when watching TV or reading (other than bedtime).</t>
  </si>
  <si>
    <t>I have to force myself to stay awake during the day.</t>
  </si>
  <si>
    <t>I catch myself falling asleep unintentionally.</t>
  </si>
  <si>
    <t xml:space="preserve">I get drowsy when I drive. </t>
  </si>
  <si>
    <t>I am a "morning person."</t>
  </si>
  <si>
    <t>I use caffeine to feel awake in the morning.</t>
  </si>
  <si>
    <t>I use caffeine during the day because I feel drowsy.</t>
  </si>
  <si>
    <t>I feel drowsy after eating.</t>
  </si>
  <si>
    <t>Sleep Environment Quality:</t>
  </si>
  <si>
    <t>How would you rate your sleep environment to promote sleep quality?</t>
  </si>
  <si>
    <t>Good</t>
  </si>
  <si>
    <t>When I sleep, I make sure the room is dark.</t>
  </si>
  <si>
    <t>When I sleep, I use a fan or device for "background noise".</t>
  </si>
  <si>
    <t>I watch a screen right before or when falling asleep.</t>
  </si>
  <si>
    <t>I have pets in the bedroom.</t>
  </si>
  <si>
    <t>I sleep only in my bed and my bed is used almost exclusively for sleep.</t>
  </si>
  <si>
    <t>Sleep Quality Behaviors</t>
  </si>
  <si>
    <t>I consume caffeine at night within hours of sleep.</t>
  </si>
  <si>
    <t>I drink alcohol prior to bedtime.</t>
  </si>
  <si>
    <t>I take prescribed medicine or supplements to help me sleep.</t>
  </si>
  <si>
    <t>I feel good and rested in the mornings.</t>
  </si>
  <si>
    <t>Total Sleep Factor Score:</t>
  </si>
  <si>
    <t>Grade/Interpretation:</t>
  </si>
  <si>
    <t>E8 Challenge Report Card</t>
  </si>
  <si>
    <t>Grade:</t>
  </si>
  <si>
    <t>Factor:</t>
  </si>
  <si>
    <t>Sleep:</t>
  </si>
  <si>
    <t>Do you have a diagnosed sleep disorder (insomnia, apnea, etc.)?</t>
  </si>
  <si>
    <t>Exercise:</t>
  </si>
  <si>
    <t>Diet:</t>
  </si>
  <si>
    <t>Lipids:</t>
  </si>
  <si>
    <t>Glucose:</t>
  </si>
  <si>
    <t>Blood Pressure:</t>
  </si>
  <si>
    <t>Body Composition:</t>
  </si>
  <si>
    <t>Nicotine</t>
  </si>
  <si>
    <t>Go to Report Card</t>
  </si>
  <si>
    <t>Daily Eating Habits</t>
  </si>
  <si>
    <t>Daily Nutrition</t>
  </si>
  <si>
    <t>Meal Planning</t>
  </si>
  <si>
    <t>Food Preparation</t>
  </si>
  <si>
    <t>Do you eat when you are not hungry?</t>
  </si>
  <si>
    <t>How many meals per week do you eat away from home?</t>
  </si>
  <si>
    <t>How often do you consider the saturated fat content of the foods you eat?</t>
  </si>
  <si>
    <t>Do you try to limit the saturated fat in your diet?</t>
  </si>
  <si>
    <t>Do you try to limit the added sugar in your diet?</t>
  </si>
  <si>
    <t>Do you find yourself needing to eat because you feel poorly?</t>
  </si>
  <si>
    <t>How often do you eat fruit?</t>
  </si>
  <si>
    <t>How often do you eat vegetables?</t>
  </si>
  <si>
    <t>How often do you eat nuts?</t>
  </si>
  <si>
    <t>How often do you eat beans?</t>
  </si>
  <si>
    <t>How often do you consider the sodium content when making food choices?</t>
  </si>
  <si>
    <t>Do you consume enough water to stay hydrated?</t>
  </si>
  <si>
    <t xml:space="preserve">How often do you consider the fiber content when buying whole grains, fruits and vegetables? </t>
  </si>
  <si>
    <t>I consider the sodium (salt) content when buying foods with sodium (salt).</t>
  </si>
  <si>
    <t>I choose leaner cuts of beef.</t>
  </si>
  <si>
    <t>How often do you look at the ingredients when purchasing food?</t>
  </si>
  <si>
    <t>How often do you eat fast food?</t>
  </si>
  <si>
    <t>I typically eat leftovers.</t>
  </si>
  <si>
    <t>Do you keep fresh vegetables in your home?</t>
  </si>
  <si>
    <t>Do you keep fresh fruits in your home?</t>
  </si>
  <si>
    <t>Do you keep canned or frozen fruits in your home?</t>
  </si>
  <si>
    <t>Do you keep canned or frozen vegetables in your home?</t>
  </si>
  <si>
    <t>Do you keep healthy, easy to eat options at home?</t>
  </si>
  <si>
    <t>Do you meal plan for the week before you grocery shop?</t>
  </si>
  <si>
    <t>How often do you consider nutrition when you decide what to eat out?</t>
  </si>
  <si>
    <t>How often do you consider nutrition when you decide what to eat at home?</t>
  </si>
  <si>
    <t>Do you consult food labels when making purchasing decisions?</t>
  </si>
  <si>
    <t>Do you count calories?</t>
  </si>
  <si>
    <t>When using diary products does the fat content influence your choice (less saturated fat, or high polyunsaturated fats)</t>
  </si>
  <si>
    <t>Do you count grams of protein?</t>
  </si>
  <si>
    <t>Do you count grams of fiber?</t>
  </si>
  <si>
    <t xml:space="preserve">How often do you do other things while eating (watch TV, work, read, use your phone, etc.) </t>
  </si>
  <si>
    <t>When you choose a food in a multi-serving package, how often do you eat out of the package?</t>
  </si>
  <si>
    <t>Diet Factor Category</t>
  </si>
  <si>
    <t>2-3 servings/day</t>
  </si>
  <si>
    <t>1+ serving/day</t>
  </si>
  <si>
    <t>&lt;2</t>
  </si>
  <si>
    <t>Bake</t>
  </si>
  <si>
    <t>Total Nutrition Factor Score:</t>
  </si>
  <si>
    <t>Exercise Factor</t>
  </si>
  <si>
    <t>Physical Activity</t>
  </si>
  <si>
    <t>Other than sleep, in a typical day, how long will you sit or lie without taking a movement break?</t>
  </si>
  <si>
    <t>&lt;2hours</t>
  </si>
  <si>
    <t>Do you do occupational or leisure-time physical activity in a typical day? (i.e. gardening, vacuuming, etc.)</t>
  </si>
  <si>
    <t>How many times per week do you perform cardiovascular/aerobic exercise aimed at improving fitness?</t>
  </si>
  <si>
    <t>Over the course of a typical week, do you accumulate &gt;150 minutes (2hours 30 minutes) of moderate intensity (or vigorous) Cardiovascular exercise?</t>
  </si>
  <si>
    <t>How many times/week do you do high-intensity resistance training (weight-lifting)</t>
  </si>
  <si>
    <t>High</t>
  </si>
  <si>
    <t>Would you say that you exercise the same muscle(s) or use the same movements 2Xs/week or more?</t>
  </si>
  <si>
    <t>Do you do multiple sets of &lt;6 reps of the same exercise or for the same muscle(s) or movement?</t>
  </si>
  <si>
    <t>Do you increase the weight lifted when it become easier or when you can lift &gt;6 repetitions?</t>
  </si>
  <si>
    <t>Increased</t>
  </si>
  <si>
    <t>How many times/week do you do moderate-intensity resistance training (weight-lifting, TRX, bodyweight, etc.)</t>
  </si>
  <si>
    <t>Do you do multiple sets of &lt;8-15 reps of the same exercise or for the same muscle(s) or movement?</t>
  </si>
  <si>
    <t>Do you increase the weight lifted when it become easier or when you can complete &gt;15 repetitions?</t>
  </si>
  <si>
    <t>How would you rate your current strength fitness level?</t>
  </si>
  <si>
    <t>How would you rate your current cardiovascular fitness level?</t>
  </si>
  <si>
    <t>How would you rate your current muscular endurance fitness level?</t>
  </si>
  <si>
    <t>Do you strength train multiple muscles or joint movements each week?</t>
  </si>
  <si>
    <t>Flexibility:</t>
  </si>
  <si>
    <t>Muscular Endurance:</t>
  </si>
  <si>
    <t>Strength Training:</t>
  </si>
  <si>
    <t>Cardiovascular Exercise:</t>
  </si>
  <si>
    <t>How many times/week do you do flexibility exercises? (Stretching, yoga, etc.)</t>
  </si>
  <si>
    <t>Do you stretch multiple muscles or joint movements each week?</t>
  </si>
  <si>
    <t>Do you stretch after exercise or a warm-up?</t>
  </si>
  <si>
    <t>Do you do multiple sets of 15 - 30 seconds of the same exercise or movement for the same muscle(s) or joint?</t>
  </si>
  <si>
    <t>I use DEXA scans to evaluation my body composition.</t>
  </si>
  <si>
    <t>I stay consistently active or increase activity and exercise on weekends and on vacations.</t>
  </si>
  <si>
    <t xml:space="preserve">I have estimated my daily caloric needs and energy expenditure to create an energy balance or deficit. </t>
  </si>
  <si>
    <t>I estimate or track my energy expenditure.</t>
  </si>
  <si>
    <t>I participate in regular recreational activities, hobbies and interests that include increased physical activity.</t>
  </si>
  <si>
    <t>Lipid Category</t>
  </si>
  <si>
    <t>Do you measure your blood lipids annually?</t>
  </si>
  <si>
    <t>Have you ever been told your blood lipids were abnormal?</t>
  </si>
  <si>
    <t>Lipid Values</t>
  </si>
  <si>
    <t>What is your measurement for LDL Cholesterol?</t>
  </si>
  <si>
    <t>What is your measurement for HDL Cholesterol?</t>
  </si>
  <si>
    <t>What is your triglyceride level?</t>
  </si>
  <si>
    <t>Do you have a family history of high or abnormal blood lipids?</t>
  </si>
  <si>
    <t>&lt;70mg/dl</t>
  </si>
  <si>
    <t>&lt;150 mg/dl</t>
  </si>
  <si>
    <t>&gt;60 mg/dl</t>
  </si>
  <si>
    <t>What is your non-HDL Cholesterol level (Total Cholesterol - HDL Cholesterol)?</t>
  </si>
  <si>
    <t>&lt;130 mg/dl</t>
  </si>
  <si>
    <t>&lt;150 mg/dL</t>
  </si>
  <si>
    <t>Factor Interaction</t>
  </si>
  <si>
    <t>3 - 4</t>
  </si>
  <si>
    <t>Do you maintain your usual eating habits during holidays and special occasions?</t>
  </si>
  <si>
    <t>Do you consider added sugar when choosing beverages?</t>
  </si>
  <si>
    <t>What is your grade for your Dietary Factor? (autofilled)</t>
  </si>
  <si>
    <t>What is your grade for Exercise? (autofilled)</t>
  </si>
  <si>
    <t>What is your grade for Body Composition? (autofilled)</t>
  </si>
  <si>
    <t>Glucose Factor</t>
  </si>
  <si>
    <t>Glucose Measurement</t>
  </si>
  <si>
    <t xml:space="preserve">Conditions </t>
  </si>
  <si>
    <t>If you have diabetes, or cardiovascular disease select "yes."</t>
  </si>
  <si>
    <t>Twice per year</t>
  </si>
  <si>
    <t>&lt;100 mg/dl</t>
  </si>
  <si>
    <t>Have you had your hemoglobin A1c measured in the past year?</t>
  </si>
  <si>
    <t>What was your most recent HbA1c measure?</t>
  </si>
  <si>
    <t>&lt;5.7%</t>
  </si>
  <si>
    <t>Glucose Related Factors</t>
  </si>
  <si>
    <t>What is your grade for Blood Pressure? (autofilled)</t>
  </si>
  <si>
    <t>What is your grade for Lipids? (autofilled)</t>
  </si>
  <si>
    <t>Glucose-related behaviors</t>
  </si>
  <si>
    <t>How often do you do resistance training exercises?</t>
  </si>
  <si>
    <t>Do you have an annual eye exam?</t>
  </si>
  <si>
    <t>Blood Pressure Diagnosis</t>
  </si>
  <si>
    <t>Have you been diagnosed with high blood pressure?</t>
  </si>
  <si>
    <t>Blood Pressure Measurement</t>
  </si>
  <si>
    <t>How often do you measure your blood pressure?</t>
  </si>
  <si>
    <t>Weekly or more often</t>
  </si>
  <si>
    <t>Do you have a home blood pressure monitor?</t>
  </si>
  <si>
    <t>Do you record your blood pressure measurements?</t>
  </si>
  <si>
    <t>Do you share and discuss your blood pressure with your health care providers?</t>
  </si>
  <si>
    <t>Blood Lipid Measurement</t>
  </si>
  <si>
    <t>Total Lipid Factor Score:</t>
  </si>
  <si>
    <t>What is your grade for Sleep Factor? (autofilled)</t>
  </si>
  <si>
    <t>What is your grade for your Exercise Factor? (autofilled)</t>
  </si>
  <si>
    <t>What is your grade for your Body Composition Factor? (autofilled)</t>
  </si>
  <si>
    <t>What is your grade for Nicotine/tobacco Factor? (autofilled)</t>
  </si>
  <si>
    <t>What is your grade for Exercise Factor? (autofilled)</t>
  </si>
  <si>
    <t>What is your grade for Body Composition Factor? (autofilled)</t>
  </si>
  <si>
    <t>Blood Pressure Values</t>
  </si>
  <si>
    <t>What is your measurement for Total Cholesterol?</t>
  </si>
  <si>
    <t>What is your common measurement for Systolic Blood Pressure (1st number or higher number)?</t>
  </si>
  <si>
    <t>What is your common measurement for Diastolic Blood Pressure (2nd number or lower number)?</t>
  </si>
  <si>
    <t>Do you sit quietly, relaxing for 5 minutes with your feet on the floor and arm supported at level of your heart when BP is measured?</t>
  </si>
  <si>
    <t>Do you make sure the proper size cuff is used when measuring blood pressure?</t>
  </si>
  <si>
    <t>Do you avoid nicotine, exercise, caffiene, alcohol and medicines that affect BP 30 minutes or longer before BP is measured?</t>
  </si>
  <si>
    <t>Do you make sure the cuff is against your bare arm when measuring BP (not over sleeves)?</t>
  </si>
  <si>
    <t>5Xs/week</t>
  </si>
  <si>
    <t>Total Blood Pressure Factor Score:</t>
  </si>
  <si>
    <t>Do you have an annual preventive eye exam?</t>
  </si>
  <si>
    <t>Body Composition Factor</t>
  </si>
  <si>
    <t>Body Composition Measurement</t>
  </si>
  <si>
    <t>Have you had a baseline DEXA Scan to assess your body composition?</t>
  </si>
  <si>
    <t>Do you know your waist circumference?</t>
  </si>
  <si>
    <t>Do you know your body weight?</t>
  </si>
  <si>
    <t>Do you know your waist to hip ratio (W:H)?</t>
  </si>
  <si>
    <t>BC Function</t>
  </si>
  <si>
    <t>BC Trend</t>
  </si>
  <si>
    <t>How much weight have you gained over the past 5-years?</t>
  </si>
  <si>
    <t>How much weight have you gained over the past year?</t>
  </si>
  <si>
    <t>How easily can you bend at the waist (tie shoes, pick up from the ground, etc.)?</t>
  </si>
  <si>
    <t>Can you wear your clothes that are 5-years old or older?</t>
  </si>
  <si>
    <t>Do you have difficulty or pain standing for long periods of time?</t>
  </si>
  <si>
    <t>Do you have arthritis in your hips, knees or ankles?</t>
  </si>
  <si>
    <t>Do you have chronic low back pain?</t>
  </si>
  <si>
    <t>Do you have obstructive sleep apnea?</t>
  </si>
  <si>
    <t>How easily can you move to the floor, lie down and return to standing?</t>
  </si>
  <si>
    <t>Do you stop physical activity because of shortness of breath?</t>
  </si>
  <si>
    <t>Total Body Composition Factor Score:</t>
  </si>
  <si>
    <t>Sleep Factor Grade:</t>
  </si>
  <si>
    <t>Diet Factor Grade:</t>
  </si>
  <si>
    <t>Exercise Factor Grade:</t>
  </si>
  <si>
    <t>Lipid Factor Grade:</t>
  </si>
  <si>
    <t>Glucose Factor Grade:</t>
  </si>
  <si>
    <t>Nicotine Factor Grade:</t>
  </si>
  <si>
    <t>Blood Pressure Factor Grade:</t>
  </si>
  <si>
    <t>A</t>
  </si>
  <si>
    <t>What is your grade on your Sleep Factor? (From table to the right: H25)</t>
  </si>
  <si>
    <t>What is your grade on your Exercise Factor? (From table to the right: H27)</t>
  </si>
  <si>
    <t>What is your grade on your Diet Factor? (From table to the right: H26)</t>
  </si>
  <si>
    <t>What is your grade on your Lipid Factor? (From table to the right: H28)</t>
  </si>
  <si>
    <t>What is your grade on your Glucose Factor? (From table to the right: H29)</t>
  </si>
  <si>
    <t>What is your grade on your Blood Pressure Factor? (From table to the right: H30)</t>
  </si>
  <si>
    <t>What is your grade on your Nicotine Factor? (From table to the right: H31)</t>
  </si>
  <si>
    <t>Grade (H column):</t>
  </si>
  <si>
    <t>Nicotine Factor Eval</t>
  </si>
  <si>
    <t>Nicotine Use:</t>
  </si>
  <si>
    <t>Do you currently smoke, vape or use tobacco (non-ceremonial)?</t>
  </si>
  <si>
    <t>Have you smoked, vaped, or used tobacco (non-ceremonial) in the past 12-months?</t>
  </si>
  <si>
    <t>Have you ever smoked, vaped, used tobacco (non-ceremonial) for more than 2-years?</t>
  </si>
  <si>
    <t>Are you exposed to second-hand smoke?</t>
  </si>
  <si>
    <t>Nicotine addiction:</t>
  </si>
  <si>
    <t>Do you smoke, vape, or use tobacco when you are sick?</t>
  </si>
  <si>
    <t>How much do you smoke (packs) or vape (ml)?</t>
  </si>
  <si>
    <t>I don’t vape or smoke</t>
  </si>
  <si>
    <t>How long do you usually go without nicotine during a typical day</t>
  </si>
  <si>
    <t>Have you been diagnosed with peripheral vascular disease</t>
  </si>
  <si>
    <t>Have you been diagnosed with cerebral vascular disease?</t>
  </si>
  <si>
    <t>Have you been diagnosed with heart disease?</t>
  </si>
  <si>
    <t>Body Composition Factor Grade:</t>
  </si>
  <si>
    <t>What is your grade on your Body Composition Factor? (From table to the right: H31)</t>
  </si>
  <si>
    <t>Have you ever been diagnosed with cancer?</t>
  </si>
  <si>
    <t>Have you ever been diagnosed with diabetes?</t>
  </si>
  <si>
    <t>In a typical day, do you build in physical activity (i.e. take the stairs, park and walk, etc.)</t>
  </si>
  <si>
    <t>Do you lift heavy weights which are challenging to complete more than 6 repetitions?</t>
  </si>
  <si>
    <t>How has your muscular strength changed over the past year?</t>
  </si>
  <si>
    <t>Do you lift weights or perform exercises that are challenging, yet allow you to complete sets of seven or more repetitions?</t>
  </si>
  <si>
    <t>If/when you try to lose weight or improve your body composition, do you use diet and exercise? (vs. diet alone)?</t>
  </si>
  <si>
    <t>Do you know your body mass index?</t>
  </si>
  <si>
    <t>Easy</t>
  </si>
  <si>
    <t>Moderate</t>
  </si>
  <si>
    <t>Have you been diagnosed with asthma, COPD or any other respiratory condition?</t>
  </si>
  <si>
    <t>&lt;2%</t>
  </si>
  <si>
    <t>&lt;1%</t>
  </si>
  <si>
    <t>&lt;80 mmHg</t>
  </si>
  <si>
    <t>&lt;120 mmHg</t>
  </si>
  <si>
    <t>How often do you have your fasting blood glucose measured?</t>
  </si>
  <si>
    <t>What was your most recent fasting blood glucose measure?</t>
  </si>
  <si>
    <t>Do you limit your consumption of ultra-processed foods?</t>
  </si>
  <si>
    <t>I sleep less (stay up late or wake up early) to have more available time (for: homework, project, party, event, etc.).</t>
  </si>
  <si>
    <t>1-2Xs/week</t>
  </si>
  <si>
    <t>Overall, how much variation in time do you typically experience each night?</t>
  </si>
  <si>
    <t>Do you have a consistent sleep time?</t>
  </si>
  <si>
    <t>Do you have a regular sleep time (pre-sleep) routine?</t>
  </si>
  <si>
    <t>I wake up easily at my intended time.</t>
  </si>
  <si>
    <t>I have a wake routine (physical activity, stretches, clean kitchen, pool, etc.)</t>
  </si>
  <si>
    <t>When choosing desserts, how often does nutritional content influence your decision?</t>
  </si>
  <si>
    <t>When choosing snacks, how often does nutritional content influence your decision?</t>
  </si>
  <si>
    <t>When given a large portion, how often do you try to finish the whole meal?</t>
  </si>
  <si>
    <t>How often do you bring lunch to work?</t>
  </si>
  <si>
    <t>If you prepare chicken or fish at home, do you typically bake, fry or air-fry?</t>
  </si>
  <si>
    <t>How has your cardiovascular fitness changed over the past year?</t>
  </si>
  <si>
    <t>Do you measure your exercise intensity during cardiovascular exercise? (heart rate, pace, etc.)?</t>
  </si>
  <si>
    <t>How has your muscular endurance changed over the past year?</t>
  </si>
  <si>
    <t>How has your flexibility changed over the past year?</t>
  </si>
  <si>
    <t>Do you exercise more to compensate for dietary decisions (i.e. increase energy expenditure if you increase calorie intake)?</t>
  </si>
  <si>
    <t>Do you increase the range of motion, distance stretched, intensity of stretch or increase repetitions when it becomes easier or when you can stretch farther?</t>
  </si>
  <si>
    <t>How would you rate your current flexibility fitness level?</t>
  </si>
  <si>
    <t>Do you know your visceral fat mass (from a DEXA)?</t>
  </si>
  <si>
    <t>Do your legs become fatigued climbing 2 - 3 flights of stairs?</t>
  </si>
  <si>
    <t>Have you ever been diagnosed with depression and/or anxiety?</t>
  </si>
  <si>
    <t>Nicotine and Conditions:</t>
  </si>
  <si>
    <t>How often do you eat non-animal protein sources (nuts, legumes, beans, etc.)?</t>
  </si>
  <si>
    <t>How often do you consider cooking methods based on nutrition (i.e.: baked vs fried)?</t>
  </si>
  <si>
    <t>If you prepare French fries at home, do you bake, fry or air-fry?</t>
  </si>
  <si>
    <t>Click on any factor in the report card to move to that factor's evaluation.</t>
  </si>
  <si>
    <t>I don't smoke</t>
  </si>
  <si>
    <t>How long after waking in the morning do you have nicotine?</t>
  </si>
  <si>
    <t>Click here for video instructions &amp; overview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</si>
</sst>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scheme val="minor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0"/>
      <name val="Arial"/>
      <family val="2"/>
    </font>
    <font>
      <u/>
      <sz val="11"/>
      <color theme="10"/>
      <name val="Aptos Narrow"/>
      <family val="2"/>
      <scheme val="minor"/>
    </font>
    <font>
      <b/>
      <u/>
      <sz val="12"/>
      <color theme="10"/>
      <name val="Arial"/>
      <family val="2"/>
    </font>
    <font>
      <sz val="16"/>
      <color theme="1"/>
      <name val="Arial"/>
      <family val="2"/>
    </font>
    <font>
      <b/>
      <u/>
      <sz val="16"/>
      <color theme="1"/>
      <name val="Arial"/>
      <family val="2"/>
    </font>
    <font>
      <b/>
      <u/>
      <sz val="16"/>
      <color theme="10"/>
      <name val="Arial"/>
      <family val="2"/>
    </font>
    <font>
      <b/>
      <sz val="16"/>
      <color theme="1"/>
      <name val="Arial"/>
      <family val="2"/>
    </font>
    <font>
      <sz val="12"/>
      <name val="Arial"/>
      <family val="2"/>
    </font>
    <font>
      <b/>
      <u/>
      <sz val="16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BDD7E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6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9" fontId="3" fillId="0" borderId="0" xfId="0" applyNumberFormat="1" applyFont="1"/>
    <xf numFmtId="0" fontId="5" fillId="3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wrapText="1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 wrapText="1"/>
    </xf>
    <xf numFmtId="0" fontId="3" fillId="2" borderId="0" xfId="0" applyFont="1" applyFill="1"/>
    <xf numFmtId="0" fontId="3" fillId="2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>
      <alignment horizontal="center" vertical="center"/>
    </xf>
    <xf numFmtId="0" fontId="7" fillId="0" borderId="0" xfId="1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1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center" vertical="center" wrapText="1"/>
    </xf>
    <xf numFmtId="1" fontId="3" fillId="0" borderId="0" xfId="0" applyNumberFormat="1" applyFont="1"/>
    <xf numFmtId="0" fontId="12" fillId="0" borderId="0" xfId="0" applyFont="1" applyAlignment="1">
      <alignment horizontal="left" vertical="center" wrapText="1"/>
    </xf>
    <xf numFmtId="49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Alignment="1" applyProtection="1">
      <alignment horizontal="center"/>
      <protection locked="0"/>
    </xf>
    <xf numFmtId="9" fontId="3" fillId="0" borderId="0" xfId="0" applyNumberFormat="1" applyFont="1" applyAlignment="1" applyProtection="1">
      <alignment horizontal="center" vertical="center"/>
      <protection locked="0"/>
    </xf>
    <xf numFmtId="0" fontId="11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13" fillId="0" borderId="0" xfId="1" applyFont="1" applyAlignment="1">
      <alignment horizontal="left"/>
    </xf>
  </cellXfs>
  <cellStyles count="2">
    <cellStyle name="Hyperlink" xfId="1" builtinId="8"/>
    <cellStyle name="Normal" xfId="0" builtinId="0"/>
  </cellStyles>
  <dxfs count="64"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rgb="FFBDD7EE"/>
          <bgColor theme="4" tint="0.399975585192419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rgb="FFBDD7EE"/>
          <bgColor theme="4" tint="0.399975585192419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rgb="FFBDD7EE"/>
          <bgColor theme="4" tint="0.399975585192419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rgb="FFBDD7EE"/>
          <bgColor theme="4" tint="0.399975585192419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rgb="FFBDD7EE"/>
          <bgColor theme="4" tint="0.399975585192419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rgb="FFBDD7EE"/>
          <bgColor theme="4" tint="0.399975585192419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rgb="FFBDD7EE"/>
          <bgColor theme="4" tint="0.399975585192419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rgb="FFBDD7EE"/>
          <bgColor theme="4" tint="0.39997558519241921"/>
        </patternFill>
      </fill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vertAlign val="baseline"/>
        <sz val="16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vertAlign val="baseline"/>
        <sz val="16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6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63A7363-0218-465D-A6F7-C3C40A91F058}" name="Table2" displayName="Table2" ref="B3:C11" totalsRowShown="0" headerRowDxfId="63" dataDxfId="62">
  <tableColumns count="2">
    <tableColumn id="1" xr3:uid="{BE897873-71AB-429F-84A1-0C628A3E8187}" name="Factor:" dataDxfId="61"/>
    <tableColumn id="2" xr3:uid="{D9E93209-58EE-488A-99B6-84C44952C36D}" name="Grade:" dataDxfId="6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F4CFF89-A7A0-4FCD-A469-72111DD0768D}" name="Table13" displayName="Table13" ref="A1:E49" totalsRowShown="0" headerRowDxfId="59">
  <tableColumns count="5">
    <tableColumn id="1" xr3:uid="{191F313E-36AC-41FE-B848-82539F479D8A}" name="Q#" dataDxfId="58"/>
    <tableColumn id="2" xr3:uid="{5301322E-E29E-4E50-86A3-6AFC74F7420C}" name="Sleep Category" dataDxfId="57"/>
    <tableColumn id="3" xr3:uid="{E0506267-6B5E-4F17-BB59-DB22A5834109}" name="Factor"/>
    <tableColumn id="4" xr3:uid="{7EB0528A-05B8-4BDC-BF91-593AE69C0884}" name="Your Answer" dataDxfId="56"/>
    <tableColumn id="5" xr3:uid="{8278A17A-08F9-43C8-AD92-62131BE5715A}" name="Points (Auto-Calculated)" dataDxfId="55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25E3DC2-BD00-4719-87AE-BE43E97C1B82}" name="Table134" displayName="Table134" ref="A1:E50" totalsRowShown="0" headerRowDxfId="54">
  <tableColumns count="5">
    <tableColumn id="1" xr3:uid="{B2D9C875-EA99-4BA6-9E4B-C5A475259C4A}" name="Q#" dataDxfId="53"/>
    <tableColumn id="2" xr3:uid="{1C000B60-D6BC-4E23-8D45-58EF92BCBF4F}" name="Diet Factor Category" dataDxfId="52"/>
    <tableColumn id="3" xr3:uid="{C97E2920-ECEA-4B40-B14F-1B6ABC50C9C0}" name="Factor"/>
    <tableColumn id="4" xr3:uid="{28868AD1-4117-4926-852C-F1B546C47485}" name="Your Answer" dataDxfId="51"/>
    <tableColumn id="5" xr3:uid="{F0D4943B-413E-429C-8375-6092681003FC}" name="Points (Auto-Calculated)" dataDxfId="50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21DF3E8-A9C6-4D73-87C4-4119F452F367}" name="Exercise" displayName="Exercise" ref="A1:E48" totalsRowShown="0" headerRowDxfId="49">
  <tableColumns count="5">
    <tableColumn id="1" xr3:uid="{D762A83F-4CE0-4051-B819-08980D1AB2DF}" name="Q#" dataDxfId="48"/>
    <tableColumn id="2" xr3:uid="{B138A9B5-DB14-40C0-9154-591008246927}" name="Exercise Factor" dataDxfId="47"/>
    <tableColumn id="3" xr3:uid="{09AB038D-03EA-4884-86A9-621EB9A03DB1}" name="Factor"/>
    <tableColumn id="4" xr3:uid="{540E604A-4A64-4B5B-A765-D02CA57A147A}" name="Your Answer" dataDxfId="46"/>
    <tableColumn id="5" xr3:uid="{AD6CBABD-C19A-4666-BE0E-144370C88DFB}" name="Points (Auto-Calculated)" dataDxfId="45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BC6064F-BDB1-4F2D-86D1-CA2AC02A41F6}" name="Table13456" displayName="Table13456" ref="A1:E19" totalsRowShown="0" headerRowDxfId="44">
  <tableColumns count="5">
    <tableColumn id="1" xr3:uid="{D3F53265-5841-425E-A9E8-97866E2D0A07}" name="Q#" dataDxfId="43"/>
    <tableColumn id="2" xr3:uid="{820FFBC6-95E1-4CAC-8E4F-B78183E9FC75}" name="Lipid Category" dataDxfId="42"/>
    <tableColumn id="3" xr3:uid="{03E6C132-9BF1-471B-8E8F-20022D05BFE0}" name="Factor"/>
    <tableColumn id="4" xr3:uid="{454A7EBE-9516-41F2-B8B8-36FABCAC3B63}" name="Your Answer" dataDxfId="41"/>
    <tableColumn id="5" xr3:uid="{1EF5FCA9-55E9-442E-A2A0-BE4D17B42F62}" name="Points (Auto-Calculated)" dataDxfId="40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B414DE7-4995-4DD6-83E6-0807A656325B}" name="Table134567" displayName="Table134567" ref="A1:E21" totalsRowShown="0" headerRowDxfId="39">
  <tableColumns count="5">
    <tableColumn id="1" xr3:uid="{2B7941B6-DE7E-4ABD-A05E-2A0912B82060}" name="Q#" dataDxfId="38"/>
    <tableColumn id="2" xr3:uid="{36564E57-20CB-49DE-8041-DE2A72C33B97}" name="Glucose Factor" dataDxfId="37"/>
    <tableColumn id="3" xr3:uid="{55C6F91B-95B6-4FB4-BC17-67253A096B6A}" name="Factor"/>
    <tableColumn id="4" xr3:uid="{B4168F37-2893-42D6-A309-526B29531A4F}" name="Your Answer" dataDxfId="36"/>
    <tableColumn id="5" xr3:uid="{7C029BDE-4336-4A48-B289-1A90F8F73643}" name="Points (Auto-Calculated)" dataDxfId="35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BED31E6C-140A-4B65-8A05-18F4DCAC80D6}" name="Table1345678" displayName="Table1345678" ref="A1:E26" totalsRowShown="0" headerRowDxfId="34">
  <tableColumns count="5">
    <tableColumn id="1" xr3:uid="{C622D1C8-78B0-4146-80EE-5BD72797F87A}" name="Q#" dataDxfId="33"/>
    <tableColumn id="2" xr3:uid="{3415B895-3DE8-46C9-A91F-C919E2AEB54D}" name="Sleep Category" dataDxfId="32"/>
    <tableColumn id="3" xr3:uid="{A28F732D-24C3-487F-8F42-38F353F0E3C1}" name="Factor"/>
    <tableColumn id="4" xr3:uid="{C9042122-24EE-445D-A20D-E1FF1DF915E2}" name="Your Answer" dataDxfId="31"/>
    <tableColumn id="5" xr3:uid="{0975C07E-0E94-4097-B3BB-5ED06508707A}" name="Points (Auto-Calculated)" dataDxfId="30"/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6A774327-88A3-4CAB-B573-6C89FF59E95E}" name="Table13456789" displayName="Table13456789" ref="A1:E32" totalsRowShown="0" headerRowDxfId="29">
  <tableColumns count="5">
    <tableColumn id="1" xr3:uid="{CD06D081-01AE-4688-9353-A113630416EB}" name="Q#" dataDxfId="28"/>
    <tableColumn id="2" xr3:uid="{4168E3A3-74C2-4F5B-B798-CE25A30F7C82}" name="Body Composition Factor" dataDxfId="27"/>
    <tableColumn id="3" xr3:uid="{AE5AE3E3-8D09-4854-B8E0-09E302D053C7}" name="Factor"/>
    <tableColumn id="4" xr3:uid="{ECE4641E-6D85-4263-AA00-88A693894EC0}" name="Your Answer" dataDxfId="26"/>
    <tableColumn id="5" xr3:uid="{98B1E451-73FB-404B-A359-C19C8820A9B2}" name="Points (Auto-Calculated)" dataDxfId="25"/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BF267CE-0F33-4054-A5F7-670E9AF36C66}" name="Table10" displayName="Table10" ref="G23:H30" totalsRowShown="0">
  <tableColumns count="2">
    <tableColumn id="1" xr3:uid="{F4936566-5A30-4DD1-9B06-C04BA0F0305B}" name="Factor" dataDxfId="24"/>
    <tableColumn id="2" xr3:uid="{3BD1EE00-73F3-4CE5-9017-FFD50AF75E72}" name="Grade (H column):" dataDxfId="23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E278FF2D-40E7-4BDB-98FC-33C1CFD6196A}" name="Table1345678912" displayName="Table1345678912" ref="A1:E28" totalsRowShown="0" headerRowDxfId="22">
  <tableColumns count="5">
    <tableColumn id="1" xr3:uid="{515E7401-576A-46DD-A52A-C60AE5D39F3B}" name="Q#" dataDxfId="21"/>
    <tableColumn id="2" xr3:uid="{D5D9E531-1A85-4DB4-925F-AAA8053B39B5}" name="Nicotine Factor Eval" dataDxfId="20"/>
    <tableColumn id="3" xr3:uid="{8DC3B1F2-C108-411B-921F-4136DD6A7A17}" name="Factor"/>
    <tableColumn id="4" xr3:uid="{148F302A-AF12-4EC2-94EF-656AEF20BFBF}" name="Your Answer" dataDxfId="19"/>
    <tableColumn id="5" xr3:uid="{C64C0ADD-62A8-44DD-80E4-86120F4AF001}" name="Points (Auto-Calculated)" dataDxfId="18"/>
  </tableColumns>
  <tableStyleInfo name="TableStyleLight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561FAAC4-F6DD-4C93-B7D5-D648A6F436B2}" name="Table1013" displayName="Table1013" ref="G19:H26" totalsRowShown="0">
  <tableColumns count="2">
    <tableColumn id="1" xr3:uid="{390E3286-FF79-46A8-A968-2A4B7BA956AA}" name="Factor" dataDxfId="17"/>
    <tableColumn id="2" xr3:uid="{16311011-E18F-4EB0-8023-859EC5104C85}" name="Grade (H column):" dataDxfId="1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s://vimeo.com/1104994302?share=copy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CC776-D38B-4279-8378-0EE4FCA3F864}">
  <dimension ref="A1:C17"/>
  <sheetViews>
    <sheetView showGridLines="0" tabSelected="1" topLeftCell="A3" workbookViewId="0">
      <selection activeCell="M11" sqref="M11"/>
    </sheetView>
  </sheetViews>
  <sheetFormatPr defaultColWidth="9.109375" defaultRowHeight="20.399999999999999" x14ac:dyDescent="0.35"/>
  <cols>
    <col min="1" max="1" width="9.109375" style="24"/>
    <col min="2" max="2" width="29.44140625" style="24" bestFit="1" customWidth="1"/>
    <col min="3" max="3" width="11" style="24" bestFit="1" customWidth="1"/>
    <col min="4" max="16384" width="9.109375" style="24"/>
  </cols>
  <sheetData>
    <row r="1" spans="1:3" x14ac:dyDescent="0.35">
      <c r="A1" s="24" t="s">
        <v>53</v>
      </c>
    </row>
    <row r="3" spans="1:3" ht="21" x14ac:dyDescent="0.4">
      <c r="B3" s="25" t="s">
        <v>55</v>
      </c>
      <c r="C3" s="25" t="s">
        <v>54</v>
      </c>
    </row>
    <row r="4" spans="1:3" ht="21" x14ac:dyDescent="0.4">
      <c r="B4" s="26" t="s">
        <v>56</v>
      </c>
      <c r="C4" s="27" t="str">
        <f>SleepFactorEval!E49</f>
        <v>A</v>
      </c>
    </row>
    <row r="5" spans="1:3" ht="21" x14ac:dyDescent="0.4">
      <c r="B5" s="26" t="s">
        <v>59</v>
      </c>
      <c r="C5" s="27" t="str">
        <f>DietFactorEval!E50</f>
        <v>A</v>
      </c>
    </row>
    <row r="6" spans="1:3" ht="21" x14ac:dyDescent="0.4">
      <c r="B6" s="26" t="s">
        <v>58</v>
      </c>
      <c r="C6" s="27" t="str">
        <f>ExerciseFactorEval!E48</f>
        <v>A</v>
      </c>
    </row>
    <row r="7" spans="1:3" ht="21" x14ac:dyDescent="0.4">
      <c r="B7" s="26" t="s">
        <v>60</v>
      </c>
      <c r="C7" s="27" t="str">
        <f>LipidsFactorEval!E19</f>
        <v>A</v>
      </c>
    </row>
    <row r="8" spans="1:3" ht="21" x14ac:dyDescent="0.4">
      <c r="B8" s="26" t="s">
        <v>61</v>
      </c>
      <c r="C8" s="27" t="str">
        <f>GlucoseFactorEval!E21</f>
        <v>A</v>
      </c>
    </row>
    <row r="9" spans="1:3" ht="21" x14ac:dyDescent="0.4">
      <c r="B9" s="26" t="s">
        <v>62</v>
      </c>
      <c r="C9" s="27" t="str">
        <f>BloodPressureFactorEval!E26</f>
        <v>A</v>
      </c>
    </row>
    <row r="10" spans="1:3" ht="21" x14ac:dyDescent="0.4">
      <c r="B10" s="26" t="s">
        <v>63</v>
      </c>
      <c r="C10" s="27" t="str">
        <f>BodyCompositionFactorEval!E32</f>
        <v>A</v>
      </c>
    </row>
    <row r="11" spans="1:3" ht="21" x14ac:dyDescent="0.4">
      <c r="B11" s="26" t="s">
        <v>64</v>
      </c>
      <c r="C11" s="27" t="str">
        <f>+NicotineFactorEval!E28</f>
        <v>A</v>
      </c>
    </row>
    <row r="12" spans="1:3" ht="21" x14ac:dyDescent="0.4">
      <c r="B12" s="27"/>
    </row>
    <row r="13" spans="1:3" ht="21" x14ac:dyDescent="0.4">
      <c r="A13" s="44"/>
      <c r="B13" s="43" t="s">
        <v>300</v>
      </c>
    </row>
    <row r="14" spans="1:3" ht="21" x14ac:dyDescent="0.4">
      <c r="B14" s="45" t="s">
        <v>303</v>
      </c>
    </row>
    <row r="15" spans="1:3" ht="21" x14ac:dyDescent="0.4">
      <c r="B15" s="27"/>
    </row>
    <row r="16" spans="1:3" ht="21" x14ac:dyDescent="0.4">
      <c r="B16" s="27"/>
    </row>
    <row r="17" spans="2:2" ht="21" x14ac:dyDescent="0.4">
      <c r="B17" s="27"/>
    </row>
  </sheetData>
  <hyperlinks>
    <hyperlink ref="B4" location="SleepFactorEval!A1" display="Sleep:" xr:uid="{BDB34B90-9DC6-4E45-86C6-90FF4125BD6A}"/>
    <hyperlink ref="B5" location="DietFactorEval!A1" display="Diet:" xr:uid="{4D287801-92ED-46E5-9EF2-2F365A1DC967}"/>
    <hyperlink ref="B6" location="ExerciseFactorEval!A1" display="Exercise:" xr:uid="{87787C97-E6BE-49D8-B491-AB8C5C92B199}"/>
    <hyperlink ref="B7" location="LipidsFactorEval!A1" display="Lipids:" xr:uid="{A123FD47-2DCB-4C0B-9C44-AB7E11C6EE3C}"/>
    <hyperlink ref="B8" location="GlucoseFactorEval!A1" display="Glucose:" xr:uid="{45143285-E264-4B5D-9265-7C4F2FAF9DBF}"/>
    <hyperlink ref="B9" location="BloodPressureFactorEval!A1" display="Blood Pressure:" xr:uid="{4F71C487-2C37-4A2D-B570-90E5A1A25629}"/>
    <hyperlink ref="B10" location="BodyCompositionFactorEval!A1" display="Body Composition:" xr:uid="{C1FBA242-6FF3-4ED5-A202-E829CC43C954}"/>
    <hyperlink ref="B11" location="NicotineFactorEval!A1" display="Nicotine" xr:uid="{3166440D-566C-4B3A-83F4-2DE816F7997C}"/>
    <hyperlink ref="B14" r:id="rId1" location="t=0" xr:uid="{CFC88369-A751-4D43-B17C-791C06A6FEFA}"/>
  </hyperlinks>
  <pageMargins left="0.7" right="0.7" top="0.75" bottom="0.75" header="0.3" footer="0.3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1DB6E-84AB-40B7-8824-175DE0EEF293}">
  <dimension ref="A1:H54"/>
  <sheetViews>
    <sheetView showGridLines="0" zoomScaleNormal="100" workbookViewId="0">
      <pane ySplit="1" topLeftCell="A2" activePane="bottomLeft" state="frozen"/>
      <selection pane="bottomLeft" activeCell="G1" sqref="G1"/>
    </sheetView>
  </sheetViews>
  <sheetFormatPr defaultColWidth="52.5546875" defaultRowHeight="15" x14ac:dyDescent="0.25"/>
  <cols>
    <col min="1" max="1" width="5.6640625" style="1" customWidth="1"/>
    <col min="2" max="2" width="30" style="1" customWidth="1"/>
    <col min="3" max="3" width="81" style="2" customWidth="1"/>
    <col min="4" max="4" width="28.33203125" style="2" customWidth="1"/>
    <col min="5" max="5" width="30.88671875" style="2" customWidth="1"/>
    <col min="6" max="6" width="19" style="2" customWidth="1"/>
    <col min="7" max="7" width="31.5546875" style="2" customWidth="1"/>
    <col min="8" max="8" width="33.88671875" style="2" customWidth="1"/>
    <col min="9" max="16384" width="52.5546875" style="2"/>
  </cols>
  <sheetData>
    <row r="1" spans="1:8" ht="15.6" x14ac:dyDescent="0.3">
      <c r="A1" s="7" t="s">
        <v>0</v>
      </c>
      <c r="B1" s="7" t="s">
        <v>1</v>
      </c>
      <c r="C1" s="8" t="s">
        <v>2</v>
      </c>
      <c r="D1" s="8" t="s">
        <v>3</v>
      </c>
      <c r="E1" s="8" t="s">
        <v>4</v>
      </c>
      <c r="F1" s="1"/>
      <c r="G1" s="23" t="s">
        <v>65</v>
      </c>
      <c r="H1" s="1"/>
    </row>
    <row r="2" spans="1:8" ht="30" customHeight="1" x14ac:dyDescent="0.3">
      <c r="A2" s="9"/>
      <c r="B2" s="10" t="s">
        <v>5</v>
      </c>
      <c r="C2" s="11"/>
      <c r="D2" s="12"/>
      <c r="E2" s="12" t="s">
        <v>9</v>
      </c>
      <c r="F2" s="1"/>
      <c r="G2" s="1"/>
      <c r="H2" s="1"/>
    </row>
    <row r="3" spans="1:8" ht="19.95" customHeight="1" x14ac:dyDescent="0.25">
      <c r="A3" s="1">
        <v>1</v>
      </c>
      <c r="B3" s="2"/>
      <c r="C3" s="28" t="s">
        <v>6</v>
      </c>
      <c r="D3" s="4" t="s">
        <v>7</v>
      </c>
      <c r="E3" s="5">
        <f>IF(D3="7–9 hrs",100,IF(D3="6–7 or 9–10 hrs",50,0))</f>
        <v>100</v>
      </c>
    </row>
    <row r="4" spans="1:8" ht="31.2" x14ac:dyDescent="0.3">
      <c r="A4" s="9"/>
      <c r="B4" s="10" t="s">
        <v>8</v>
      </c>
      <c r="C4" s="29"/>
      <c r="D4" s="13"/>
      <c r="E4" s="14" t="s">
        <v>9</v>
      </c>
    </row>
    <row r="5" spans="1:8" x14ac:dyDescent="0.25">
      <c r="A5" s="1">
        <v>2</v>
      </c>
      <c r="B5" s="2"/>
      <c r="C5" s="28" t="s">
        <v>276</v>
      </c>
      <c r="D5" s="4" t="s">
        <v>10</v>
      </c>
      <c r="E5" s="5">
        <f>IF(D5="&lt;1 hour variation",100,IF(D5="1–2 hours",75,IF(D5="&gt;2 hours",25,IF(D5="&gt;3 hours",0,0))))</f>
        <v>100</v>
      </c>
    </row>
    <row r="6" spans="1:8" x14ac:dyDescent="0.25">
      <c r="A6" s="1">
        <v>3</v>
      </c>
      <c r="C6" s="30" t="s">
        <v>277</v>
      </c>
      <c r="D6" s="4" t="s">
        <v>11</v>
      </c>
      <c r="E6" s="5">
        <f>IF(D6="yes",25,0)</f>
        <v>25</v>
      </c>
    </row>
    <row r="7" spans="1:8" x14ac:dyDescent="0.25">
      <c r="A7" s="1">
        <v>4</v>
      </c>
      <c r="C7" s="30" t="s">
        <v>278</v>
      </c>
      <c r="D7" s="4" t="s">
        <v>11</v>
      </c>
      <c r="E7" s="5">
        <f>IF(D7="Yes",50,0)</f>
        <v>50</v>
      </c>
    </row>
    <row r="8" spans="1:8" ht="30" x14ac:dyDescent="0.25">
      <c r="A8" s="1">
        <v>5</v>
      </c>
      <c r="C8" s="30" t="s">
        <v>274</v>
      </c>
      <c r="D8" s="4" t="s">
        <v>12</v>
      </c>
      <c r="E8" s="5">
        <f>IF(D8="Never",50,IF(D8="Sometimes",25,0))</f>
        <v>50</v>
      </c>
    </row>
    <row r="9" spans="1:8" x14ac:dyDescent="0.25">
      <c r="A9" s="1">
        <v>6</v>
      </c>
      <c r="C9" s="30" t="s">
        <v>13</v>
      </c>
      <c r="D9" s="4" t="s">
        <v>12</v>
      </c>
      <c r="E9" s="5">
        <f>IF(D9="Never",50,IF(D9="Sometimes",25,0))</f>
        <v>50</v>
      </c>
    </row>
    <row r="10" spans="1:8" x14ac:dyDescent="0.25">
      <c r="A10" s="1">
        <v>7</v>
      </c>
      <c r="C10" s="30" t="s">
        <v>14</v>
      </c>
      <c r="D10" s="4" t="s">
        <v>12</v>
      </c>
      <c r="E10" s="5">
        <f t="shared" ref="E10:E13" si="0">IF(D10="Never",50,IF(D10="Sometimes",25,0))</f>
        <v>50</v>
      </c>
    </row>
    <row r="11" spans="1:8" x14ac:dyDescent="0.25">
      <c r="A11" s="1">
        <v>8</v>
      </c>
      <c r="C11" s="30" t="s">
        <v>15</v>
      </c>
      <c r="D11" s="4" t="s">
        <v>12</v>
      </c>
      <c r="E11" s="5">
        <f>IF(D11="Never",25,IF(D11="Sometimes",15,0))</f>
        <v>25</v>
      </c>
    </row>
    <row r="12" spans="1:8" x14ac:dyDescent="0.25">
      <c r="A12" s="1">
        <v>9</v>
      </c>
      <c r="C12" s="30" t="s">
        <v>16</v>
      </c>
      <c r="D12" s="4" t="s">
        <v>12</v>
      </c>
      <c r="E12" s="5">
        <f t="shared" si="0"/>
        <v>50</v>
      </c>
    </row>
    <row r="13" spans="1:8" ht="15" customHeight="1" x14ac:dyDescent="0.25">
      <c r="A13" s="1">
        <v>10</v>
      </c>
      <c r="C13" s="30" t="s">
        <v>17</v>
      </c>
      <c r="D13" s="4" t="s">
        <v>12</v>
      </c>
      <c r="E13" s="5">
        <f t="shared" si="0"/>
        <v>50</v>
      </c>
    </row>
    <row r="14" spans="1:8" x14ac:dyDescent="0.25">
      <c r="A14" s="1">
        <v>11</v>
      </c>
      <c r="C14" s="30" t="s">
        <v>18</v>
      </c>
      <c r="D14" s="4" t="s">
        <v>12</v>
      </c>
      <c r="E14" s="5">
        <f>IF(D14="Never",25,IF(D14="Sometimes",10,0))</f>
        <v>25</v>
      </c>
    </row>
    <row r="15" spans="1:8" x14ac:dyDescent="0.25">
      <c r="A15" s="1">
        <v>12</v>
      </c>
      <c r="C15" s="30" t="s">
        <v>19</v>
      </c>
      <c r="D15" s="4" t="s">
        <v>20</v>
      </c>
      <c r="E15" s="5">
        <f>IF(D15="Never",0,IF(D15="Sometimes",15,25))</f>
        <v>25</v>
      </c>
    </row>
    <row r="16" spans="1:8" x14ac:dyDescent="0.25">
      <c r="A16" s="1">
        <v>13</v>
      </c>
      <c r="C16" s="30" t="s">
        <v>21</v>
      </c>
      <c r="D16" s="4" t="s">
        <v>20</v>
      </c>
      <c r="E16" s="5">
        <f>IF(D16="Never",0,IF(D16="Sometimes",15,25))</f>
        <v>25</v>
      </c>
    </row>
    <row r="17" spans="1:5" ht="30" customHeight="1" x14ac:dyDescent="0.25">
      <c r="A17" s="9"/>
      <c r="B17" s="15" t="s">
        <v>22</v>
      </c>
      <c r="C17" s="31"/>
      <c r="D17" s="13"/>
      <c r="E17" s="14" t="s">
        <v>9</v>
      </c>
    </row>
    <row r="18" spans="1:5" ht="19.95" customHeight="1" x14ac:dyDescent="0.25">
      <c r="A18" s="1">
        <v>14</v>
      </c>
      <c r="B18" s="2"/>
      <c r="C18" s="30" t="s">
        <v>57</v>
      </c>
      <c r="D18" s="4" t="s">
        <v>23</v>
      </c>
      <c r="E18" s="5">
        <f>IF(D18="No",150,0)</f>
        <v>150</v>
      </c>
    </row>
    <row r="19" spans="1:5" ht="19.95" customHeight="1" x14ac:dyDescent="0.25">
      <c r="A19" s="1">
        <v>15</v>
      </c>
      <c r="C19" s="30" t="s">
        <v>24</v>
      </c>
      <c r="D19" s="4" t="s">
        <v>23</v>
      </c>
      <c r="E19" s="5">
        <f>IF(D19="No",25,0)</f>
        <v>25</v>
      </c>
    </row>
    <row r="20" spans="1:5" ht="19.95" customHeight="1" x14ac:dyDescent="0.25">
      <c r="A20" s="1">
        <v>16</v>
      </c>
      <c r="C20" s="30" t="s">
        <v>25</v>
      </c>
      <c r="D20" s="4" t="s">
        <v>12</v>
      </c>
      <c r="E20" s="5">
        <f>IF(D20="Never",50,IF(D20="Sometimes",25,0))</f>
        <v>50</v>
      </c>
    </row>
    <row r="21" spans="1:5" ht="19.95" customHeight="1" x14ac:dyDescent="0.25">
      <c r="A21" s="1">
        <v>17</v>
      </c>
      <c r="C21" s="30" t="s">
        <v>26</v>
      </c>
      <c r="D21" s="4" t="s">
        <v>12</v>
      </c>
      <c r="E21" s="5">
        <f>IF(D21="Never",100,IF(D21="Sometimes",50,0))</f>
        <v>100</v>
      </c>
    </row>
    <row r="22" spans="1:5" ht="30" customHeight="1" x14ac:dyDescent="0.25">
      <c r="A22" s="9"/>
      <c r="B22" s="15" t="s">
        <v>27</v>
      </c>
      <c r="C22" s="31"/>
      <c r="D22" s="13"/>
      <c r="E22" s="14" t="s">
        <v>9</v>
      </c>
    </row>
    <row r="23" spans="1:5" ht="19.95" customHeight="1" x14ac:dyDescent="0.25">
      <c r="A23" s="1">
        <v>18</v>
      </c>
      <c r="C23" s="28" t="s">
        <v>28</v>
      </c>
      <c r="D23" s="4" t="s">
        <v>12</v>
      </c>
      <c r="E23" s="5">
        <f>IF(D23="Never",50,IF(D23="Sometimes",15,0))</f>
        <v>50</v>
      </c>
    </row>
    <row r="24" spans="1:5" ht="19.95" customHeight="1" x14ac:dyDescent="0.25">
      <c r="A24" s="1">
        <v>19</v>
      </c>
      <c r="C24" s="30" t="s">
        <v>29</v>
      </c>
      <c r="D24" s="4" t="s">
        <v>12</v>
      </c>
      <c r="E24" s="5">
        <f>IF(D24="Often",0,IF(D24="Sometimes",25,50))</f>
        <v>50</v>
      </c>
    </row>
    <row r="25" spans="1:5" ht="19.95" customHeight="1" x14ac:dyDescent="0.25">
      <c r="A25" s="1">
        <v>20</v>
      </c>
      <c r="C25" s="30" t="s">
        <v>30</v>
      </c>
      <c r="D25" s="4" t="s">
        <v>12</v>
      </c>
      <c r="E25" s="5">
        <f t="shared" ref="E25:E31" si="1">IF(D25="Never",50,IF(D25="Sometimes",15,0))</f>
        <v>50</v>
      </c>
    </row>
    <row r="26" spans="1:5" ht="19.95" customHeight="1" x14ac:dyDescent="0.25">
      <c r="A26" s="1">
        <v>21</v>
      </c>
      <c r="C26" s="30" t="s">
        <v>31</v>
      </c>
      <c r="D26" s="4" t="s">
        <v>12</v>
      </c>
      <c r="E26" s="5">
        <f t="shared" si="1"/>
        <v>50</v>
      </c>
    </row>
    <row r="27" spans="1:5" ht="19.95" customHeight="1" x14ac:dyDescent="0.25">
      <c r="A27" s="1">
        <v>22</v>
      </c>
      <c r="C27" s="30" t="s">
        <v>32</v>
      </c>
      <c r="D27" s="4" t="s">
        <v>12</v>
      </c>
      <c r="E27" s="5">
        <f>IF(D27="Never",50,IF(D27="Sometimes",15,0))</f>
        <v>50</v>
      </c>
    </row>
    <row r="28" spans="1:5" ht="19.95" customHeight="1" x14ac:dyDescent="0.25">
      <c r="A28" s="1">
        <v>23</v>
      </c>
      <c r="C28" s="30" t="s">
        <v>33</v>
      </c>
      <c r="D28" s="4" t="s">
        <v>12</v>
      </c>
      <c r="E28" s="5">
        <f>IF(D28="Never",75,IF(D28="Sometimes",10,0))</f>
        <v>75</v>
      </c>
    </row>
    <row r="29" spans="1:5" ht="19.95" customHeight="1" x14ac:dyDescent="0.25">
      <c r="A29" s="1">
        <v>24</v>
      </c>
      <c r="C29" s="30" t="s">
        <v>34</v>
      </c>
      <c r="D29" s="4" t="s">
        <v>11</v>
      </c>
      <c r="E29" s="5">
        <f>IF(D29="Yes",25,IF(D29="Somewhat",15,0))</f>
        <v>25</v>
      </c>
    </row>
    <row r="30" spans="1:5" ht="19.95" customHeight="1" x14ac:dyDescent="0.25">
      <c r="A30" s="1">
        <v>25</v>
      </c>
      <c r="C30" s="30" t="s">
        <v>35</v>
      </c>
      <c r="D30" s="4" t="s">
        <v>12</v>
      </c>
      <c r="E30" s="5">
        <f>IF(D30="Never",50,IF(D30="Sometimes",25,0))</f>
        <v>50</v>
      </c>
    </row>
    <row r="31" spans="1:5" ht="19.95" customHeight="1" x14ac:dyDescent="0.25">
      <c r="A31" s="1">
        <v>26</v>
      </c>
      <c r="C31" s="30" t="s">
        <v>36</v>
      </c>
      <c r="D31" s="4" t="s">
        <v>12</v>
      </c>
      <c r="E31" s="5">
        <f t="shared" si="1"/>
        <v>50</v>
      </c>
    </row>
    <row r="32" spans="1:5" ht="19.95" customHeight="1" x14ac:dyDescent="0.25">
      <c r="A32" s="1">
        <v>27</v>
      </c>
      <c r="C32" s="30" t="s">
        <v>37</v>
      </c>
      <c r="D32" s="4" t="s">
        <v>12</v>
      </c>
      <c r="E32" s="5">
        <f>IF(D32="Never",15,IF(D32="Sometimes",10,0))</f>
        <v>15</v>
      </c>
    </row>
    <row r="33" spans="1:5" ht="30" customHeight="1" x14ac:dyDescent="0.25">
      <c r="A33" s="9"/>
      <c r="B33" s="15" t="s">
        <v>38</v>
      </c>
      <c r="C33" s="31"/>
      <c r="D33" s="13"/>
      <c r="E33" s="14" t="s">
        <v>9</v>
      </c>
    </row>
    <row r="34" spans="1:5" ht="19.95" customHeight="1" x14ac:dyDescent="0.25">
      <c r="A34" s="1">
        <v>28</v>
      </c>
      <c r="C34" s="30" t="s">
        <v>39</v>
      </c>
      <c r="D34" s="4" t="s">
        <v>40</v>
      </c>
      <c r="E34" s="5">
        <f>IF(D34="Good",50,IF(D34="Fair",25,0))</f>
        <v>50</v>
      </c>
    </row>
    <row r="35" spans="1:5" ht="19.95" customHeight="1" x14ac:dyDescent="0.25">
      <c r="A35" s="1">
        <v>29</v>
      </c>
      <c r="C35" s="30" t="s">
        <v>41</v>
      </c>
      <c r="D35" s="4" t="s">
        <v>20</v>
      </c>
      <c r="E35" s="5">
        <f>IF(D35="Never",0,IF(D35="Sometimes",10,25))</f>
        <v>25</v>
      </c>
    </row>
    <row r="36" spans="1:5" ht="19.95" customHeight="1" x14ac:dyDescent="0.25">
      <c r="A36" s="1">
        <v>30</v>
      </c>
      <c r="C36" s="30" t="s">
        <v>42</v>
      </c>
      <c r="D36" s="4" t="s">
        <v>20</v>
      </c>
      <c r="E36" s="5">
        <f>IF(D36="Never",0,IF(D36="Sometimes",10,25))</f>
        <v>25</v>
      </c>
    </row>
    <row r="37" spans="1:5" ht="19.95" customHeight="1" x14ac:dyDescent="0.25">
      <c r="A37" s="1">
        <v>31</v>
      </c>
      <c r="C37" s="30" t="s">
        <v>43</v>
      </c>
      <c r="D37" s="4" t="s">
        <v>12</v>
      </c>
      <c r="E37" s="5">
        <f>IF(D37="Never",25,IF(D37="Sometimes",10,0))</f>
        <v>25</v>
      </c>
    </row>
    <row r="38" spans="1:5" ht="19.95" customHeight="1" x14ac:dyDescent="0.25">
      <c r="A38" s="1">
        <v>32</v>
      </c>
      <c r="C38" s="30" t="s">
        <v>44</v>
      </c>
      <c r="D38" s="4" t="s">
        <v>12</v>
      </c>
      <c r="E38" s="5">
        <f t="shared" ref="E38" si="2">IF(D38="Never",15,IF(D38="Sometimes",10,0))</f>
        <v>15</v>
      </c>
    </row>
    <row r="39" spans="1:5" ht="19.95" customHeight="1" x14ac:dyDescent="0.25">
      <c r="A39" s="1">
        <v>33</v>
      </c>
      <c r="C39" s="30" t="s">
        <v>45</v>
      </c>
      <c r="D39" s="4" t="s">
        <v>11</v>
      </c>
      <c r="E39" s="5">
        <f>IF(D39="Yes",15,IF(D39="Somewhat",5,0))</f>
        <v>15</v>
      </c>
    </row>
    <row r="40" spans="1:5" ht="30" customHeight="1" x14ac:dyDescent="0.25">
      <c r="A40" s="9"/>
      <c r="B40" s="15" t="s">
        <v>46</v>
      </c>
      <c r="C40" s="32"/>
      <c r="D40" s="17"/>
      <c r="E40" s="18" t="s">
        <v>9</v>
      </c>
    </row>
    <row r="41" spans="1:5" ht="19.95" customHeight="1" x14ac:dyDescent="0.25">
      <c r="A41" s="1">
        <v>34</v>
      </c>
      <c r="C41" s="30" t="s">
        <v>47</v>
      </c>
      <c r="D41" s="4" t="s">
        <v>12</v>
      </c>
      <c r="E41" s="5">
        <f>IF(D41="Never",15,IF(D41="Sometimes",10,0))</f>
        <v>15</v>
      </c>
    </row>
    <row r="42" spans="1:5" ht="19.95" customHeight="1" x14ac:dyDescent="0.25">
      <c r="A42" s="1">
        <v>35</v>
      </c>
      <c r="C42" s="30" t="s">
        <v>48</v>
      </c>
      <c r="D42" s="4" t="s">
        <v>12</v>
      </c>
      <c r="E42" s="5">
        <f>IF(D42="Never",15,IF(D42="Sometimes",5,0))</f>
        <v>15</v>
      </c>
    </row>
    <row r="43" spans="1:5" ht="19.95" customHeight="1" x14ac:dyDescent="0.25">
      <c r="A43" s="1">
        <v>36</v>
      </c>
      <c r="C43" s="30" t="s">
        <v>49</v>
      </c>
      <c r="D43" s="4" t="s">
        <v>12</v>
      </c>
      <c r="E43" s="5">
        <f>IF(D43="Never",15,IF(D43="Sometimes",5,0))</f>
        <v>15</v>
      </c>
    </row>
    <row r="44" spans="1:5" ht="19.95" customHeight="1" x14ac:dyDescent="0.25">
      <c r="A44" s="1">
        <v>37</v>
      </c>
      <c r="C44" s="30" t="s">
        <v>279</v>
      </c>
      <c r="D44" s="4" t="s">
        <v>20</v>
      </c>
      <c r="E44" s="5">
        <f>IF(D44="Never",0,IF(D44="Sometimes",15,25))</f>
        <v>25</v>
      </c>
    </row>
    <row r="45" spans="1:5" ht="19.95" customHeight="1" x14ac:dyDescent="0.25">
      <c r="A45" s="1">
        <v>38</v>
      </c>
      <c r="C45" s="30" t="s">
        <v>50</v>
      </c>
      <c r="D45" s="4" t="s">
        <v>20</v>
      </c>
      <c r="E45" s="5">
        <f>IF(D45="Never",0,IF(D45="Sometimes",15,25))</f>
        <v>25</v>
      </c>
    </row>
    <row r="46" spans="1:5" ht="19.95" customHeight="1" x14ac:dyDescent="0.25">
      <c r="A46" s="1">
        <v>39</v>
      </c>
      <c r="C46" s="30" t="s">
        <v>280</v>
      </c>
      <c r="D46" s="4" t="s">
        <v>20</v>
      </c>
      <c r="E46" s="5">
        <f>IF(D46="Never",0,IF(D46="Sometimes",10,25))</f>
        <v>25</v>
      </c>
    </row>
    <row r="47" spans="1:5" x14ac:dyDescent="0.25">
      <c r="C47" s="3"/>
      <c r="E47" s="2" t="s">
        <v>9</v>
      </c>
    </row>
    <row r="48" spans="1:5" ht="17.399999999999999" x14ac:dyDescent="0.3">
      <c r="A48" s="9"/>
      <c r="B48" s="9"/>
      <c r="C48" s="16"/>
      <c r="D48" s="19" t="s">
        <v>51</v>
      </c>
      <c r="E48" s="20">
        <f>SUM(E3:E46)</f>
        <v>1690</v>
      </c>
    </row>
    <row r="49" spans="1:6" ht="17.399999999999999" x14ac:dyDescent="0.25">
      <c r="A49" s="9"/>
      <c r="B49" s="9"/>
      <c r="C49" s="16"/>
      <c r="D49" s="21" t="s">
        <v>52</v>
      </c>
      <c r="E49" s="22" t="str">
        <f>IF(E48&gt;=1521,"A",IF(E48&gt;=1352,"B",IF(E48&gt;=1014,"C",IF(E48&lt;=676,"D"," Poor Sleep Health"))))</f>
        <v>A</v>
      </c>
    </row>
    <row r="51" spans="1:6" x14ac:dyDescent="0.25">
      <c r="F51" s="6"/>
    </row>
    <row r="52" spans="1:6" x14ac:dyDescent="0.25">
      <c r="F52" s="6"/>
    </row>
    <row r="53" spans="1:6" x14ac:dyDescent="0.25">
      <c r="F53" s="6"/>
    </row>
    <row r="54" spans="1:6" x14ac:dyDescent="0.25">
      <c r="F54" s="6"/>
    </row>
  </sheetData>
  <sheetProtection sheet="1" objects="1" scenarios="1"/>
  <conditionalFormatting sqref="E2:E49">
    <cfRule type="cellIs" dxfId="15" priority="1" operator="equal">
      <formula>0</formula>
    </cfRule>
  </conditionalFormatting>
  <conditionalFormatting sqref="E3:E46">
    <cfRule type="cellIs" dxfId="14" priority="2" operator="equal">
      <formula>0</formula>
    </cfRule>
  </conditionalFormatting>
  <dataValidations count="6">
    <dataValidation type="list" allowBlank="1" showInputMessage="1" showErrorMessage="1" sqref="D34 D40 D47" xr:uid="{B2FA1E26-B733-48A1-9882-063230AD3A06}">
      <formula1>"Good,Fair,Poor"</formula1>
    </dataValidation>
    <dataValidation type="list" allowBlank="1" showInputMessage="1" showErrorMessage="1" sqref="D8:D17 D20:D28 D30:D33 D41:D46 D35:D38" xr:uid="{A742F6B1-87B1-4243-8CF8-30E98DFF9C82}">
      <formula1>"Never,Sometimes,Often"</formula1>
    </dataValidation>
    <dataValidation type="list" allowBlank="1" showInputMessage="1" showErrorMessage="1" sqref="D5" xr:uid="{D967E856-CA23-4520-9E1D-A0E2B4A251AE}">
      <formula1>"&lt;1 hour variation,1–2 hours,&gt;2 hours,&gt;3hours"</formula1>
    </dataValidation>
    <dataValidation type="list" allowBlank="1" showInputMessage="1" showErrorMessage="1" sqref="D3:D4" xr:uid="{88113BA4-7D1F-4D77-A5A8-77463D102384}">
      <formula1>"7–9 hrs,6–7 or 9–10 hrs,&lt;6 or &gt;10 hrs"</formula1>
    </dataValidation>
    <dataValidation type="list" allowBlank="1" showInputMessage="1" showErrorMessage="1" sqref="D6:D7 D18:D19" xr:uid="{BB6D5553-E47C-4247-B864-806FDA740A58}">
      <formula1>"No,Yes"</formula1>
    </dataValidation>
    <dataValidation type="list" allowBlank="1" showInputMessage="1" showErrorMessage="1" sqref="D29 D39" xr:uid="{EF9A9B47-1443-4F15-98FE-F1BC09785B8C}">
      <formula1>"No,Somewhat,Yes"</formula1>
    </dataValidation>
  </dataValidations>
  <hyperlinks>
    <hyperlink ref="G1" location="ReportCard!A1" display="Go to Report Card" xr:uid="{A63F851F-22A0-4BBD-A6D7-FAA7D857C183}"/>
  </hyperlinks>
  <pageMargins left="0.75" right="0.75" top="1" bottom="1" header="0.5" footer="0.5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6F51E-A47C-4F97-9AA5-05EE92DD663A}">
  <dimension ref="A1:H57"/>
  <sheetViews>
    <sheetView showGridLines="0" zoomScaleNormal="100" workbookViewId="0">
      <pane ySplit="1" topLeftCell="A32" activePane="bottomLeft" state="frozen"/>
      <selection pane="bottomLeft" activeCell="G1" sqref="G1"/>
    </sheetView>
  </sheetViews>
  <sheetFormatPr defaultColWidth="52.5546875" defaultRowHeight="15" x14ac:dyDescent="0.25"/>
  <cols>
    <col min="1" max="1" width="5.6640625" style="1" customWidth="1"/>
    <col min="2" max="2" width="23.33203125" style="1" customWidth="1"/>
    <col min="3" max="3" width="114.109375" style="2" customWidth="1"/>
    <col min="4" max="4" width="28.33203125" style="2" customWidth="1"/>
    <col min="5" max="5" width="30.88671875" style="2" customWidth="1"/>
    <col min="6" max="6" width="19" style="2" customWidth="1"/>
    <col min="7" max="7" width="31.5546875" style="2" customWidth="1"/>
    <col min="8" max="8" width="33.88671875" style="2" customWidth="1"/>
    <col min="9" max="16384" width="52.5546875" style="2"/>
  </cols>
  <sheetData>
    <row r="1" spans="1:8" ht="15.6" x14ac:dyDescent="0.3">
      <c r="A1" s="7" t="s">
        <v>0</v>
      </c>
      <c r="B1" s="7" t="s">
        <v>103</v>
      </c>
      <c r="C1" s="8" t="s">
        <v>2</v>
      </c>
      <c r="D1" s="8" t="s">
        <v>3</v>
      </c>
      <c r="E1" s="8" t="s">
        <v>4</v>
      </c>
      <c r="F1" s="1"/>
      <c r="G1" s="23" t="s">
        <v>65</v>
      </c>
      <c r="H1" s="1"/>
    </row>
    <row r="2" spans="1:8" ht="35.1" customHeight="1" x14ac:dyDescent="0.3">
      <c r="A2" s="9"/>
      <c r="B2" s="35" t="s">
        <v>66</v>
      </c>
      <c r="C2" s="11"/>
      <c r="D2" s="12"/>
      <c r="E2" s="12" t="s">
        <v>9</v>
      </c>
      <c r="F2" s="1"/>
      <c r="G2" s="1"/>
      <c r="H2" s="1"/>
    </row>
    <row r="3" spans="1:8" ht="20.100000000000001" customHeight="1" x14ac:dyDescent="0.25">
      <c r="A3" s="1">
        <v>1</v>
      </c>
      <c r="B3" s="5"/>
      <c r="C3" s="28" t="s">
        <v>70</v>
      </c>
      <c r="D3" s="4" t="s">
        <v>12</v>
      </c>
      <c r="E3" s="5">
        <f>IF(D3="Never",50,IF(D3="Sometimes",25,0))</f>
        <v>50</v>
      </c>
    </row>
    <row r="4" spans="1:8" ht="20.100000000000001" customHeight="1" x14ac:dyDescent="0.25">
      <c r="A4" s="1">
        <v>2</v>
      </c>
      <c r="B4" s="5"/>
      <c r="C4" s="28" t="s">
        <v>71</v>
      </c>
      <c r="D4" s="38" t="s">
        <v>157</v>
      </c>
      <c r="E4" s="5">
        <f>IF(D4="5+",0,IF(D4="3 - 4",15,25))</f>
        <v>15</v>
      </c>
    </row>
    <row r="5" spans="1:8" ht="20.100000000000001" customHeight="1" x14ac:dyDescent="0.25">
      <c r="A5" s="1">
        <v>3</v>
      </c>
      <c r="B5" s="5"/>
      <c r="C5" s="28" t="s">
        <v>101</v>
      </c>
      <c r="D5" s="4" t="s">
        <v>12</v>
      </c>
      <c r="E5" s="5">
        <f>IF(D5="Never",25,IF(D5="Sometimes",15,0))</f>
        <v>25</v>
      </c>
    </row>
    <row r="6" spans="1:8" ht="20.100000000000001" customHeight="1" x14ac:dyDescent="0.25">
      <c r="A6" s="1">
        <v>4</v>
      </c>
      <c r="B6" s="5"/>
      <c r="C6" s="30" t="s">
        <v>102</v>
      </c>
      <c r="D6" s="4" t="s">
        <v>12</v>
      </c>
      <c r="E6" s="5">
        <f>IF(D6="Never",25,IF(D6="Sometimes",15,0))</f>
        <v>25</v>
      </c>
    </row>
    <row r="7" spans="1:8" ht="20.100000000000001" customHeight="1" x14ac:dyDescent="0.25">
      <c r="A7" s="1">
        <v>5</v>
      </c>
      <c r="B7" s="5"/>
      <c r="C7" s="30" t="s">
        <v>281</v>
      </c>
      <c r="D7" s="4" t="s">
        <v>20</v>
      </c>
      <c r="E7" s="5">
        <f>IF(D7="Never",0,IF(D7="Sometimes",15,25))</f>
        <v>25</v>
      </c>
    </row>
    <row r="8" spans="1:8" ht="20.100000000000001" customHeight="1" x14ac:dyDescent="0.25">
      <c r="A8" s="1">
        <v>6</v>
      </c>
      <c r="B8" s="5"/>
      <c r="C8" s="2" t="s">
        <v>282</v>
      </c>
      <c r="D8" s="4" t="s">
        <v>20</v>
      </c>
      <c r="E8" s="5">
        <f>IF(D8="Never",0,IF(D8="Sometimes",15,25))</f>
        <v>25</v>
      </c>
    </row>
    <row r="9" spans="1:8" ht="20.100000000000001" customHeight="1" x14ac:dyDescent="0.25">
      <c r="A9" s="1">
        <v>7</v>
      </c>
      <c r="B9" s="5"/>
      <c r="C9" s="30" t="s">
        <v>72</v>
      </c>
      <c r="D9" s="4" t="s">
        <v>20</v>
      </c>
      <c r="E9" s="5">
        <f>IF(D9="Never",0,IF(D9="Sometimes",15,25))</f>
        <v>25</v>
      </c>
    </row>
    <row r="10" spans="1:8" ht="20.100000000000001" customHeight="1" x14ac:dyDescent="0.25">
      <c r="A10" s="1">
        <v>8</v>
      </c>
      <c r="B10" s="5"/>
      <c r="C10" s="30" t="s">
        <v>73</v>
      </c>
      <c r="D10" s="4" t="s">
        <v>11</v>
      </c>
      <c r="E10" s="5">
        <f>IF(D10="yes",25,0)</f>
        <v>25</v>
      </c>
    </row>
    <row r="11" spans="1:8" ht="20.100000000000001" customHeight="1" x14ac:dyDescent="0.25">
      <c r="A11" s="1">
        <v>9</v>
      </c>
      <c r="B11" s="5"/>
      <c r="C11" s="30" t="s">
        <v>74</v>
      </c>
      <c r="D11" s="4" t="s">
        <v>11</v>
      </c>
      <c r="E11" s="5">
        <f>IF(D11="yes",25,0)</f>
        <v>25</v>
      </c>
    </row>
    <row r="12" spans="1:8" ht="20.100000000000001" customHeight="1" x14ac:dyDescent="0.25">
      <c r="A12" s="1">
        <v>10</v>
      </c>
      <c r="B12" s="5"/>
      <c r="C12" s="30" t="s">
        <v>75</v>
      </c>
      <c r="D12" s="4" t="s">
        <v>12</v>
      </c>
      <c r="E12" s="5">
        <f>IF(D12="Never",50,IF(D12="Sometimes",15,0))</f>
        <v>50</v>
      </c>
    </row>
    <row r="13" spans="1:8" ht="20.100000000000001" customHeight="1" x14ac:dyDescent="0.25">
      <c r="A13" s="1">
        <v>11</v>
      </c>
      <c r="B13" s="5"/>
      <c r="C13" s="30" t="s">
        <v>158</v>
      </c>
      <c r="D13" s="4" t="s">
        <v>11</v>
      </c>
      <c r="E13" s="5">
        <f>IF(D13="yes",25,0)</f>
        <v>25</v>
      </c>
    </row>
    <row r="14" spans="1:8" ht="20.100000000000001" customHeight="1" x14ac:dyDescent="0.25">
      <c r="A14" s="1">
        <v>12</v>
      </c>
      <c r="B14" s="5"/>
      <c r="C14" s="28" t="s">
        <v>283</v>
      </c>
      <c r="D14" s="4" t="s">
        <v>12</v>
      </c>
      <c r="E14" s="5">
        <f>IF(D14="Never",30,IF(D14="Sometimes",15,0))</f>
        <v>30</v>
      </c>
    </row>
    <row r="15" spans="1:8" ht="35.1" customHeight="1" x14ac:dyDescent="0.25">
      <c r="A15" s="9"/>
      <c r="B15" s="35" t="s">
        <v>67</v>
      </c>
      <c r="C15" s="29"/>
      <c r="D15" s="13"/>
      <c r="E15" s="14" t="s">
        <v>9</v>
      </c>
    </row>
    <row r="16" spans="1:8" ht="20.100000000000001" customHeight="1" x14ac:dyDescent="0.25">
      <c r="A16" s="1">
        <v>13</v>
      </c>
      <c r="B16" s="5"/>
      <c r="C16" s="30" t="s">
        <v>76</v>
      </c>
      <c r="D16" s="4" t="s">
        <v>104</v>
      </c>
      <c r="E16" s="5">
        <f>IF(D16="2-3 servings/day",50,IF(D16="1serving/day",25,IF(D16="&gt;4 servings/week",10,IF(D16="1-2 servings/week",0,0))))</f>
        <v>50</v>
      </c>
    </row>
    <row r="17" spans="1:5" ht="20.100000000000001" customHeight="1" x14ac:dyDescent="0.25">
      <c r="A17" s="1">
        <v>14</v>
      </c>
      <c r="B17" s="5"/>
      <c r="C17" s="30" t="s">
        <v>77</v>
      </c>
      <c r="D17" s="4" t="s">
        <v>104</v>
      </c>
      <c r="E17" s="5">
        <f>IF(D17="2-3 servings/day",50,IF(D17="1serving/day",25,IF(D17="&gt;4 servings/week",10,IF(D17="1-2 servings/week",0,0))))</f>
        <v>50</v>
      </c>
    </row>
    <row r="18" spans="1:5" ht="20.100000000000001" customHeight="1" x14ac:dyDescent="0.25">
      <c r="A18" s="1">
        <v>15</v>
      </c>
      <c r="B18" s="5"/>
      <c r="C18" s="30" t="s">
        <v>78</v>
      </c>
      <c r="D18" s="4" t="s">
        <v>105</v>
      </c>
      <c r="E18" s="5">
        <f>IF(D18="1+ serving/day",30,IF(D18="3-4 servings/week",20,IF(D18="2-3 servings/week",15,IF(D18="1 or less servings/week",0))))</f>
        <v>30</v>
      </c>
    </row>
    <row r="19" spans="1:5" ht="20.100000000000001" customHeight="1" x14ac:dyDescent="0.25">
      <c r="A19" s="1">
        <v>16</v>
      </c>
      <c r="B19" s="5"/>
      <c r="C19" s="30" t="s">
        <v>79</v>
      </c>
      <c r="D19" s="4" t="s">
        <v>20</v>
      </c>
      <c r="E19" s="5">
        <f>IF(D19="Never",0,IF(D19="Sometimes",15,25))</f>
        <v>25</v>
      </c>
    </row>
    <row r="20" spans="1:5" ht="20.100000000000001" customHeight="1" x14ac:dyDescent="0.25">
      <c r="A20" s="1">
        <v>17</v>
      </c>
      <c r="B20" s="5"/>
      <c r="C20" s="30" t="s">
        <v>297</v>
      </c>
      <c r="D20" s="4" t="s">
        <v>20</v>
      </c>
      <c r="E20" s="5">
        <f>IF(D20="Never",0,IF(D20="Sometimes",15,25))</f>
        <v>25</v>
      </c>
    </row>
    <row r="21" spans="1:5" ht="20.100000000000001" customHeight="1" x14ac:dyDescent="0.25">
      <c r="A21" s="1">
        <v>18</v>
      </c>
      <c r="B21" s="5"/>
      <c r="C21" s="30" t="s">
        <v>80</v>
      </c>
      <c r="D21" s="4" t="s">
        <v>20</v>
      </c>
      <c r="E21" s="5">
        <f>IF(D21="Never",0,IF(D21="Sometimes",15,25))</f>
        <v>25</v>
      </c>
    </row>
    <row r="22" spans="1:5" ht="20.100000000000001" customHeight="1" x14ac:dyDescent="0.25">
      <c r="A22" s="1">
        <v>19</v>
      </c>
      <c r="B22" s="5"/>
      <c r="C22" s="30" t="s">
        <v>81</v>
      </c>
      <c r="D22" s="4" t="s">
        <v>20</v>
      </c>
      <c r="E22" s="5">
        <f>IF(D22="Never",0,IF(D22="Sometimes",10,25))</f>
        <v>25</v>
      </c>
    </row>
    <row r="23" spans="1:5" ht="20.100000000000001" customHeight="1" x14ac:dyDescent="0.25">
      <c r="A23" s="1">
        <v>20</v>
      </c>
      <c r="B23" s="5"/>
      <c r="C23" s="30" t="s">
        <v>159</v>
      </c>
      <c r="D23" s="4" t="s">
        <v>20</v>
      </c>
      <c r="E23" s="5">
        <f>IF(D23="Never",0,IF(D23="Sometimes",10,25))</f>
        <v>25</v>
      </c>
    </row>
    <row r="24" spans="1:5" ht="20.100000000000001" customHeight="1" x14ac:dyDescent="0.25">
      <c r="A24" s="1">
        <v>21</v>
      </c>
      <c r="B24" s="5"/>
      <c r="C24" s="30" t="s">
        <v>97</v>
      </c>
      <c r="D24" s="4" t="s">
        <v>20</v>
      </c>
      <c r="E24" s="5">
        <f>IF(D24="Never",5,IF(D24="Sometimes",10,15))</f>
        <v>15</v>
      </c>
    </row>
    <row r="25" spans="1:5" ht="20.100000000000001" customHeight="1" x14ac:dyDescent="0.25">
      <c r="A25" s="1">
        <v>22</v>
      </c>
      <c r="B25" s="5"/>
      <c r="C25" s="30" t="s">
        <v>99</v>
      </c>
      <c r="D25" s="4" t="s">
        <v>20</v>
      </c>
      <c r="E25" s="5">
        <f>IF(D25="Never",0,IF(D25="Sometimes",10,15))</f>
        <v>15</v>
      </c>
    </row>
    <row r="26" spans="1:5" ht="20.100000000000001" customHeight="1" x14ac:dyDescent="0.25">
      <c r="A26" s="1">
        <v>23</v>
      </c>
      <c r="B26" s="5"/>
      <c r="C26" s="30" t="s">
        <v>100</v>
      </c>
      <c r="D26" s="4" t="s">
        <v>20</v>
      </c>
      <c r="E26" s="5">
        <f>IF(D26="Never",0,IF(D26="Sometimes",15,25))</f>
        <v>25</v>
      </c>
    </row>
    <row r="27" spans="1:5" ht="35.1" customHeight="1" x14ac:dyDescent="0.25">
      <c r="A27" s="9"/>
      <c r="B27" s="35" t="s">
        <v>68</v>
      </c>
      <c r="C27" s="31"/>
      <c r="D27" s="13"/>
      <c r="E27" s="14" t="s">
        <v>9</v>
      </c>
    </row>
    <row r="28" spans="1:5" ht="20.100000000000001" customHeight="1" x14ac:dyDescent="0.25">
      <c r="A28" s="1">
        <v>24</v>
      </c>
      <c r="B28" s="5"/>
      <c r="C28" s="28" t="s">
        <v>96</v>
      </c>
      <c r="D28" s="4" t="s">
        <v>20</v>
      </c>
      <c r="E28" s="5">
        <f>IF(D28="Never",0,IF(D28="Sometimes",15,25))</f>
        <v>25</v>
      </c>
    </row>
    <row r="29" spans="1:5" ht="20.100000000000001" customHeight="1" x14ac:dyDescent="0.25">
      <c r="A29" s="1">
        <v>25</v>
      </c>
      <c r="B29" s="5"/>
      <c r="C29" s="30" t="s">
        <v>95</v>
      </c>
      <c r="D29" s="4" t="s">
        <v>20</v>
      </c>
      <c r="E29" s="5">
        <f>IF(D29="Never",0,IF(D29="Sometimes",25,50))</f>
        <v>50</v>
      </c>
    </row>
    <row r="30" spans="1:5" ht="20.100000000000001" customHeight="1" x14ac:dyDescent="0.25">
      <c r="A30" s="1">
        <v>26</v>
      </c>
      <c r="B30" s="5"/>
      <c r="C30" s="30" t="s">
        <v>94</v>
      </c>
      <c r="D30" s="4" t="s">
        <v>20</v>
      </c>
      <c r="E30" s="5">
        <f>IF(D30="Never",0,IF(D30="Sometimes",15,25))</f>
        <v>25</v>
      </c>
    </row>
    <row r="31" spans="1:5" ht="20.100000000000001" customHeight="1" x14ac:dyDescent="0.25">
      <c r="A31" s="1">
        <v>27</v>
      </c>
      <c r="B31" s="5"/>
      <c r="C31" s="30" t="s">
        <v>93</v>
      </c>
      <c r="D31" s="4" t="s">
        <v>20</v>
      </c>
      <c r="E31" s="5">
        <f>IF(D31="Never",0,IF(D31="Sometimes",15,25))</f>
        <v>25</v>
      </c>
    </row>
    <row r="32" spans="1:5" ht="20.100000000000001" customHeight="1" x14ac:dyDescent="0.25">
      <c r="A32" s="1">
        <v>28</v>
      </c>
      <c r="B32" s="5"/>
      <c r="C32" s="30" t="s">
        <v>92</v>
      </c>
      <c r="D32" s="4" t="s">
        <v>20</v>
      </c>
      <c r="E32" s="5">
        <f>IF(D32="Never",0,IF(D32="Sometimes",15,25))</f>
        <v>25</v>
      </c>
    </row>
    <row r="33" spans="1:5" ht="20.100000000000001" customHeight="1" x14ac:dyDescent="0.25">
      <c r="A33" s="1">
        <v>29</v>
      </c>
      <c r="B33" s="5"/>
      <c r="C33" s="30" t="s">
        <v>91</v>
      </c>
      <c r="D33" s="4" t="s">
        <v>20</v>
      </c>
      <c r="E33" s="5">
        <f>IF(D33="Never",0,IF(D33="Sometimes",10,15))</f>
        <v>15</v>
      </c>
    </row>
    <row r="34" spans="1:5" ht="20.100000000000001" customHeight="1" x14ac:dyDescent="0.25">
      <c r="A34" s="1">
        <v>30</v>
      </c>
      <c r="B34" s="5"/>
      <c r="C34" s="30" t="s">
        <v>90</v>
      </c>
      <c r="D34" s="4" t="s">
        <v>20</v>
      </c>
      <c r="E34" s="5">
        <f>IF(D34="Never",0,IF(D34="Sometimes",10,15))</f>
        <v>15</v>
      </c>
    </row>
    <row r="35" spans="1:5" ht="20.100000000000001" customHeight="1" x14ac:dyDescent="0.25">
      <c r="A35" s="1">
        <v>31</v>
      </c>
      <c r="B35" s="5"/>
      <c r="C35" s="30" t="s">
        <v>89</v>
      </c>
      <c r="D35" s="4" t="s">
        <v>20</v>
      </c>
      <c r="E35" s="5">
        <f>IF(D35="Never",0,IF(D35="Sometimes",10,15))</f>
        <v>15</v>
      </c>
    </row>
    <row r="36" spans="1:5" ht="20.100000000000001" customHeight="1" x14ac:dyDescent="0.25">
      <c r="A36" s="1">
        <v>32</v>
      </c>
      <c r="B36" s="5"/>
      <c r="C36" s="30" t="s">
        <v>88</v>
      </c>
      <c r="D36" s="4" t="s">
        <v>20</v>
      </c>
      <c r="E36" s="5">
        <f>IF(D36="Never",0,IF(D36="Sometimes",10,15))</f>
        <v>15</v>
      </c>
    </row>
    <row r="37" spans="1:5" ht="20.100000000000001" customHeight="1" x14ac:dyDescent="0.25">
      <c r="A37" s="1">
        <v>33</v>
      </c>
      <c r="B37" s="5"/>
      <c r="C37" s="30" t="s">
        <v>87</v>
      </c>
      <c r="D37" s="4" t="s">
        <v>20</v>
      </c>
      <c r="E37" s="5">
        <f>IF(D37="Never",5,IF(D37="Sometimes",10,15))</f>
        <v>15</v>
      </c>
    </row>
    <row r="38" spans="1:5" ht="20.100000000000001" customHeight="1" x14ac:dyDescent="0.25">
      <c r="A38" s="1">
        <v>34</v>
      </c>
      <c r="B38" s="5"/>
      <c r="C38" s="2" t="s">
        <v>86</v>
      </c>
      <c r="D38" s="38" t="s">
        <v>106</v>
      </c>
      <c r="E38" s="5">
        <f>IF(D38="5+",0,IF(D38="2-4",10,25))</f>
        <v>25</v>
      </c>
    </row>
    <row r="39" spans="1:5" ht="20.100000000000001" customHeight="1" x14ac:dyDescent="0.25">
      <c r="A39" s="1">
        <v>35</v>
      </c>
      <c r="B39" s="5"/>
      <c r="C39" s="30" t="s">
        <v>284</v>
      </c>
      <c r="D39" s="4" t="s">
        <v>20</v>
      </c>
      <c r="E39" s="5">
        <f>IF(D39="Never",0,IF(D39="Sometimes",10,25))</f>
        <v>25</v>
      </c>
    </row>
    <row r="40" spans="1:5" ht="20.100000000000001" customHeight="1" x14ac:dyDescent="0.25">
      <c r="A40" s="1">
        <v>36</v>
      </c>
      <c r="B40" s="5"/>
      <c r="C40" s="30" t="s">
        <v>85</v>
      </c>
      <c r="D40" s="4" t="s">
        <v>20</v>
      </c>
      <c r="E40" s="5">
        <f>IF(D40="Never",0,IF(D40="Sometimes",10,20))</f>
        <v>20</v>
      </c>
    </row>
    <row r="41" spans="1:5" ht="20.100000000000001" customHeight="1" x14ac:dyDescent="0.25">
      <c r="A41" s="1">
        <v>37</v>
      </c>
      <c r="B41" s="5"/>
      <c r="C41" s="30" t="s">
        <v>82</v>
      </c>
      <c r="D41" s="4" t="s">
        <v>20</v>
      </c>
      <c r="E41" s="5">
        <f>IF(D41="Never",0,IF(D41="Sometimes",15,25))</f>
        <v>25</v>
      </c>
    </row>
    <row r="42" spans="1:5" ht="20.100000000000001" customHeight="1" x14ac:dyDescent="0.25">
      <c r="A42" s="1">
        <v>38</v>
      </c>
      <c r="B42" s="5"/>
      <c r="C42" s="30" t="s">
        <v>84</v>
      </c>
      <c r="D42" s="4" t="s">
        <v>20</v>
      </c>
      <c r="E42" s="5">
        <f>IF(D42="Never",0,IF(D42="Sometimes",10,25))</f>
        <v>25</v>
      </c>
    </row>
    <row r="43" spans="1:5" ht="20.100000000000001" customHeight="1" x14ac:dyDescent="0.25">
      <c r="A43" s="1">
        <v>39</v>
      </c>
      <c r="B43" s="5"/>
      <c r="C43" s="30" t="s">
        <v>83</v>
      </c>
      <c r="D43" s="4" t="s">
        <v>20</v>
      </c>
      <c r="E43" s="5">
        <f>IF(D43="Never",0,IF(D43="Sometimes",10,25))</f>
        <v>25</v>
      </c>
    </row>
    <row r="44" spans="1:5" ht="35.1" customHeight="1" x14ac:dyDescent="0.25">
      <c r="A44" s="9"/>
      <c r="B44" s="35" t="s">
        <v>69</v>
      </c>
      <c r="C44" s="35"/>
      <c r="D44" s="17"/>
      <c r="E44" s="18" t="s">
        <v>9</v>
      </c>
    </row>
    <row r="45" spans="1:5" ht="20.100000000000001" customHeight="1" x14ac:dyDescent="0.25">
      <c r="A45" s="1">
        <v>40</v>
      </c>
      <c r="B45" s="5"/>
      <c r="C45" s="30" t="s">
        <v>298</v>
      </c>
      <c r="D45" s="4" t="s">
        <v>20</v>
      </c>
      <c r="E45" s="5">
        <f>IF(D45="Never",0,IF(D45="Sometimes",10,25))</f>
        <v>25</v>
      </c>
    </row>
    <row r="46" spans="1:5" ht="20.100000000000001" customHeight="1" x14ac:dyDescent="0.25">
      <c r="A46" s="1">
        <v>41</v>
      </c>
      <c r="B46" s="5"/>
      <c r="C46" s="30" t="s">
        <v>299</v>
      </c>
      <c r="D46" s="4" t="s">
        <v>107</v>
      </c>
      <c r="E46" s="5">
        <f>IF(D46="Bake",20,IF(D46="Air-fry",20,0))</f>
        <v>20</v>
      </c>
    </row>
    <row r="47" spans="1:5" ht="20.100000000000001" customHeight="1" x14ac:dyDescent="0.25">
      <c r="A47" s="1">
        <v>42</v>
      </c>
      <c r="B47" s="5"/>
      <c r="C47" s="30" t="s">
        <v>285</v>
      </c>
      <c r="D47" s="4" t="s">
        <v>107</v>
      </c>
      <c r="E47" s="5">
        <f>IF(D47="Bake",20,IF(D47="Air-fry",20,0))</f>
        <v>20</v>
      </c>
    </row>
    <row r="48" spans="1:5" ht="19.95" customHeight="1" x14ac:dyDescent="0.25">
      <c r="A48" s="1">
        <v>43</v>
      </c>
      <c r="B48" s="5"/>
      <c r="C48" s="30" t="s">
        <v>98</v>
      </c>
      <c r="D48" s="4" t="s">
        <v>20</v>
      </c>
      <c r="E48" s="5">
        <f>IF(D48="Never",0,IF(D48="Sometimes",15,25))</f>
        <v>25</v>
      </c>
    </row>
    <row r="49" spans="1:6" ht="17.399999999999999" x14ac:dyDescent="0.3">
      <c r="A49" s="9"/>
      <c r="B49" s="14"/>
      <c r="C49" s="16"/>
      <c r="D49" s="19" t="s">
        <v>108</v>
      </c>
      <c r="E49" s="20">
        <f>SUM(E3:E48)</f>
        <v>1115</v>
      </c>
    </row>
    <row r="50" spans="1:6" ht="17.399999999999999" x14ac:dyDescent="0.25">
      <c r="A50" s="9"/>
      <c r="B50" s="14"/>
      <c r="C50" s="16"/>
      <c r="D50" s="21" t="s">
        <v>52</v>
      </c>
      <c r="E50" s="22" t="str">
        <f>IF(E49&gt;=1004,"A",IF(E49&gt;=892,"B",IF(E49&gt;=725,"C",IF(E49&lt;=446,"D"," Poor Diet Factor Score"))))</f>
        <v>A</v>
      </c>
    </row>
    <row r="52" spans="1:6" x14ac:dyDescent="0.25">
      <c r="F52" s="6"/>
    </row>
    <row r="53" spans="1:6" x14ac:dyDescent="0.25">
      <c r="F53" s="6"/>
    </row>
    <row r="54" spans="1:6" x14ac:dyDescent="0.25">
      <c r="E54" s="6"/>
      <c r="F54" s="36"/>
    </row>
    <row r="55" spans="1:6" x14ac:dyDescent="0.25">
      <c r="E55" s="6"/>
      <c r="F55" s="36"/>
    </row>
    <row r="56" spans="1:6" x14ac:dyDescent="0.25">
      <c r="E56" s="6"/>
      <c r="F56" s="36"/>
    </row>
    <row r="57" spans="1:6" x14ac:dyDescent="0.25">
      <c r="E57" s="6"/>
      <c r="F57" s="36"/>
    </row>
  </sheetData>
  <sheetProtection sheet="1" objects="1" scenarios="1"/>
  <conditionalFormatting sqref="E2:E50">
    <cfRule type="cellIs" dxfId="13" priority="1" operator="equal">
      <formula>0</formula>
    </cfRule>
  </conditionalFormatting>
  <conditionalFormatting sqref="E3:E48">
    <cfRule type="cellIs" dxfId="12" priority="3" operator="equal">
      <formula>0</formula>
    </cfRule>
  </conditionalFormatting>
  <dataValidations count="9">
    <dataValidation type="list" allowBlank="1" showInputMessage="1" showErrorMessage="1" sqref="D13 D10:D11" xr:uid="{C3ECDBCF-A9E9-4CF3-9E0E-59BF3057F6B6}">
      <formula1>"No,Yes"</formula1>
    </dataValidation>
    <dataValidation type="list" allowBlank="1" showInputMessage="1" showErrorMessage="1" sqref="D16:D17" xr:uid="{E6A036D5-4C6F-4655-A679-43520D99EA86}">
      <formula1>"2-3 servings/day,1serving/day,&gt;4 servings/week,1-2 servings/week"</formula1>
    </dataValidation>
    <dataValidation type="list" allowBlank="1" showInputMessage="1" showErrorMessage="1" sqref="D14 D39:D43 D3 D5:D9 D12 D45 D48 D19:D37" xr:uid="{6CBFFF7F-F46C-4535-A553-FD0E09403E85}">
      <formula1>"Never,Sometimes,Often"</formula1>
    </dataValidation>
    <dataValidation type="list" allowBlank="1" showInputMessage="1" showErrorMessage="1" sqref="D44" xr:uid="{6953A157-84EB-4868-92A5-84AD194FEFC3}">
      <formula1>"Good,Fair,Poor"</formula1>
    </dataValidation>
    <dataValidation type="list" allowBlank="1" showInputMessage="1" showErrorMessage="1" sqref="D4" xr:uid="{5C572F6E-3379-44F6-A6ED-1B1DAC8D3A1F}">
      <formula1>"5+,3 - 4,&lt;3"</formula1>
    </dataValidation>
    <dataValidation type="list" allowBlank="1" showInputMessage="1" showErrorMessage="1" sqref="D15" xr:uid="{1CDD4256-E30D-4ABA-B986-55C5742FBC5A}">
      <formula1>"7–9 hrs,6–7 or 9–10 hrs,&lt;6 or &gt;10 hrs"</formula1>
    </dataValidation>
    <dataValidation type="list" allowBlank="1" showInputMessage="1" showErrorMessage="1" sqref="D18" xr:uid="{7D14CE08-98F3-490E-9298-40795644FA57}">
      <formula1>"1+ serving/day, 3-4 servings/week, 2-3 servings/week,1 or less servings/week"</formula1>
    </dataValidation>
    <dataValidation type="list" allowBlank="1" showInputMessage="1" showErrorMessage="1" sqref="D38" xr:uid="{4B22058E-C974-4561-8F53-1ED4EA40C96A}">
      <formula1>"5+,2-4,&lt;2"</formula1>
    </dataValidation>
    <dataValidation type="list" allowBlank="1" showInputMessage="1" showErrorMessage="1" sqref="D46:D47" xr:uid="{9C189D8B-B108-49DC-9CED-CE89B562091E}">
      <formula1>"Bake,air-fry,fry"</formula1>
    </dataValidation>
  </dataValidations>
  <hyperlinks>
    <hyperlink ref="G1" location="ReportCard!A1" display="Go to Report Card" xr:uid="{8D83AA21-0F3C-4DED-89BE-18D4DFE2B0A8}"/>
  </hyperlinks>
  <pageMargins left="0.75" right="0.75" top="1" bottom="1" header="0.5" footer="0.5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128B7-3AB2-4866-9D38-02CBC9011179}">
  <dimension ref="A1:H55"/>
  <sheetViews>
    <sheetView showGridLines="0" zoomScaleNormal="100" workbookViewId="0">
      <pane ySplit="1" topLeftCell="A2" activePane="bottomLeft" state="frozen"/>
      <selection pane="bottomLeft" activeCell="G1" sqref="G1"/>
    </sheetView>
  </sheetViews>
  <sheetFormatPr defaultColWidth="52.5546875" defaultRowHeight="15" x14ac:dyDescent="0.25"/>
  <cols>
    <col min="1" max="1" width="5.6640625" style="1" customWidth="1"/>
    <col min="2" max="2" width="33.88671875" style="1" customWidth="1"/>
    <col min="3" max="3" width="119.6640625" style="2" customWidth="1"/>
    <col min="4" max="4" width="28.33203125" style="2" customWidth="1"/>
    <col min="5" max="5" width="30.88671875" style="2" customWidth="1"/>
    <col min="6" max="6" width="19" style="2" customWidth="1"/>
    <col min="7" max="7" width="31.5546875" style="2" customWidth="1"/>
    <col min="8" max="8" width="33.88671875" style="2" customWidth="1"/>
    <col min="9" max="16384" width="52.5546875" style="2"/>
  </cols>
  <sheetData>
    <row r="1" spans="1:8" ht="15.6" x14ac:dyDescent="0.3">
      <c r="A1" s="7" t="s">
        <v>0</v>
      </c>
      <c r="B1" s="7" t="s">
        <v>109</v>
      </c>
      <c r="C1" s="8" t="s">
        <v>2</v>
      </c>
      <c r="D1" s="8" t="s">
        <v>3</v>
      </c>
      <c r="E1" s="8" t="s">
        <v>4</v>
      </c>
      <c r="F1" s="1"/>
      <c r="G1" s="23" t="s">
        <v>65</v>
      </c>
      <c r="H1" s="1"/>
    </row>
    <row r="2" spans="1:8" ht="35.1" customHeight="1" x14ac:dyDescent="0.3">
      <c r="A2" s="9"/>
      <c r="B2" s="10" t="s">
        <v>110</v>
      </c>
      <c r="C2" s="11"/>
      <c r="D2" s="12"/>
      <c r="E2" s="12" t="s">
        <v>9</v>
      </c>
      <c r="F2" s="1"/>
      <c r="G2" s="1"/>
      <c r="H2" s="1"/>
    </row>
    <row r="3" spans="1:8" ht="20.100000000000001" customHeight="1" x14ac:dyDescent="0.25">
      <c r="A3" s="1">
        <v>1</v>
      </c>
      <c r="B3" s="2"/>
      <c r="C3" s="28" t="s">
        <v>141</v>
      </c>
      <c r="D3" s="4" t="s">
        <v>20</v>
      </c>
      <c r="E3" s="5">
        <f>IF(D3="Never",0,IF(D3="Sometimes",15,25))</f>
        <v>25</v>
      </c>
    </row>
    <row r="4" spans="1:8" ht="20.100000000000001" customHeight="1" x14ac:dyDescent="0.25">
      <c r="A4" s="1">
        <v>2</v>
      </c>
      <c r="C4" s="28" t="s">
        <v>111</v>
      </c>
      <c r="D4" s="4" t="s">
        <v>112</v>
      </c>
      <c r="E4" s="5">
        <f>IF(D4="&lt;2hours",50,IF(D4="&gt; 3hours &lt; 5 hours",15,0))</f>
        <v>50</v>
      </c>
    </row>
    <row r="5" spans="1:8" ht="20.100000000000001" customHeight="1" x14ac:dyDescent="0.25">
      <c r="A5" s="1">
        <v>3</v>
      </c>
      <c r="C5" s="28" t="s">
        <v>113</v>
      </c>
      <c r="D5" s="4" t="s">
        <v>11</v>
      </c>
      <c r="E5" s="5">
        <f>IF(D5="yes",50,0)</f>
        <v>50</v>
      </c>
    </row>
    <row r="6" spans="1:8" ht="20.100000000000001" customHeight="1" x14ac:dyDescent="0.25">
      <c r="A6" s="1">
        <v>4</v>
      </c>
      <c r="C6" s="28" t="s">
        <v>258</v>
      </c>
      <c r="D6" s="4" t="s">
        <v>11</v>
      </c>
      <c r="E6" s="5">
        <f>IF(D6="yes",15,0)</f>
        <v>15</v>
      </c>
    </row>
    <row r="7" spans="1:8" ht="35.1" customHeight="1" x14ac:dyDescent="0.3">
      <c r="A7" s="9"/>
      <c r="B7" s="10" t="s">
        <v>132</v>
      </c>
      <c r="C7" s="29"/>
      <c r="D7" s="13"/>
      <c r="E7" s="14" t="s">
        <v>9</v>
      </c>
    </row>
    <row r="8" spans="1:8" ht="20.100000000000001" customHeight="1" x14ac:dyDescent="0.25">
      <c r="A8" s="1">
        <v>5</v>
      </c>
      <c r="B8" s="2"/>
      <c r="C8" s="28" t="s">
        <v>114</v>
      </c>
      <c r="D8" s="4" t="s">
        <v>202</v>
      </c>
      <c r="E8" s="5">
        <f>IF(D8="5Xs/week",60,IF(D8="3-4Xs/week",50,IF(D8="1-2Xs/week",25,IF(D8="&lt;1X/week",0,0))))</f>
        <v>60</v>
      </c>
    </row>
    <row r="9" spans="1:8" ht="30" x14ac:dyDescent="0.25">
      <c r="A9" s="1">
        <v>6</v>
      </c>
      <c r="C9" s="30" t="s">
        <v>115</v>
      </c>
      <c r="D9" s="4" t="s">
        <v>11</v>
      </c>
      <c r="E9" s="5">
        <f>IF(D9="yes",50,0)</f>
        <v>50</v>
      </c>
    </row>
    <row r="10" spans="1:8" ht="20.100000000000001" customHeight="1" x14ac:dyDescent="0.25">
      <c r="A10" s="1">
        <v>7</v>
      </c>
      <c r="C10" s="30" t="s">
        <v>287</v>
      </c>
      <c r="D10" s="4" t="s">
        <v>11</v>
      </c>
      <c r="E10" s="5">
        <f>IF(D10="Yes",25,0)</f>
        <v>25</v>
      </c>
    </row>
    <row r="11" spans="1:8" ht="20.100000000000001" customHeight="1" x14ac:dyDescent="0.25">
      <c r="A11" s="1">
        <v>8</v>
      </c>
      <c r="C11" s="30" t="s">
        <v>286</v>
      </c>
      <c r="D11" s="4" t="s">
        <v>121</v>
      </c>
      <c r="E11" s="5">
        <f>IF(D11="Increased",50,IF(D11="Maintained",35,IF(D11="Deminished",0,0)))</f>
        <v>50</v>
      </c>
    </row>
    <row r="12" spans="1:8" ht="20.100000000000001" customHeight="1" x14ac:dyDescent="0.25">
      <c r="A12" s="1">
        <v>9</v>
      </c>
      <c r="C12" s="30" t="s">
        <v>126</v>
      </c>
      <c r="D12" s="4" t="s">
        <v>265</v>
      </c>
      <c r="E12" s="5">
        <f>IF(D12="High",50,IF(D12="Moderate",25,IF(D12="Low",0,IF(D12="I would like to improve",0))))</f>
        <v>25</v>
      </c>
    </row>
    <row r="13" spans="1:8" ht="35.1" customHeight="1" x14ac:dyDescent="0.25">
      <c r="A13" s="9"/>
      <c r="B13" s="15" t="s">
        <v>131</v>
      </c>
      <c r="C13" s="31"/>
      <c r="D13" s="13"/>
      <c r="E13" s="14" t="s">
        <v>9</v>
      </c>
    </row>
    <row r="14" spans="1:8" ht="20.100000000000001" customHeight="1" x14ac:dyDescent="0.25">
      <c r="A14" s="1">
        <v>10</v>
      </c>
      <c r="B14" s="2"/>
      <c r="C14" s="28" t="s">
        <v>116</v>
      </c>
      <c r="D14" s="4" t="s">
        <v>202</v>
      </c>
      <c r="E14" s="5">
        <f>IF(D14="5Xs/week",60,IF(D14="3-4Xs/week",50,IF(D14="1-2Xs/week",25,IF(D14="&lt;1X/week",0,0))))</f>
        <v>60</v>
      </c>
    </row>
    <row r="15" spans="1:8" ht="20.100000000000001" customHeight="1" x14ac:dyDescent="0.25">
      <c r="A15" s="1">
        <v>11</v>
      </c>
      <c r="C15" s="30" t="s">
        <v>118</v>
      </c>
      <c r="D15" s="4" t="s">
        <v>11</v>
      </c>
      <c r="E15" s="5">
        <f>IF(D15="yes",25,0)</f>
        <v>25</v>
      </c>
    </row>
    <row r="16" spans="1:8" ht="20.100000000000001" customHeight="1" x14ac:dyDescent="0.25">
      <c r="A16" s="1">
        <v>12</v>
      </c>
      <c r="C16" s="30" t="s">
        <v>128</v>
      </c>
      <c r="D16" s="4" t="s">
        <v>11</v>
      </c>
      <c r="E16" s="5">
        <f>IF(D16="yes",25,0)</f>
        <v>25</v>
      </c>
    </row>
    <row r="17" spans="1:5" ht="20.100000000000001" customHeight="1" x14ac:dyDescent="0.25">
      <c r="A17" s="1">
        <v>13</v>
      </c>
      <c r="C17" s="30" t="s">
        <v>259</v>
      </c>
      <c r="D17" s="4" t="s">
        <v>11</v>
      </c>
      <c r="E17" s="5">
        <f>IF(D17="yes",25,0)</f>
        <v>25</v>
      </c>
    </row>
    <row r="18" spans="1:5" ht="20.100000000000001" customHeight="1" x14ac:dyDescent="0.25">
      <c r="A18" s="1">
        <v>14</v>
      </c>
      <c r="C18" s="30" t="s">
        <v>119</v>
      </c>
      <c r="D18" s="4" t="s">
        <v>11</v>
      </c>
      <c r="E18" s="5">
        <f>IF(D18="yes",25,0)</f>
        <v>25</v>
      </c>
    </row>
    <row r="19" spans="1:5" ht="20.100000000000001" customHeight="1" x14ac:dyDescent="0.25">
      <c r="A19" s="1">
        <v>15</v>
      </c>
      <c r="C19" s="30" t="s">
        <v>120</v>
      </c>
      <c r="D19" s="4" t="s">
        <v>11</v>
      </c>
      <c r="E19" s="5">
        <f>IF(D19="yes",25,0)</f>
        <v>25</v>
      </c>
    </row>
    <row r="20" spans="1:5" ht="20.100000000000001" customHeight="1" x14ac:dyDescent="0.25">
      <c r="A20" s="1">
        <v>16</v>
      </c>
      <c r="C20" s="30" t="s">
        <v>260</v>
      </c>
      <c r="D20" s="4" t="s">
        <v>121</v>
      </c>
      <c r="E20" s="5">
        <f>IF(D20="Increased",50,IF(D20="Maintained",35,IF(D20="Deminished",0,0)))</f>
        <v>50</v>
      </c>
    </row>
    <row r="21" spans="1:5" ht="20.100000000000001" customHeight="1" x14ac:dyDescent="0.25">
      <c r="A21" s="1">
        <v>17</v>
      </c>
      <c r="C21" s="30" t="s">
        <v>125</v>
      </c>
      <c r="D21" s="4" t="s">
        <v>117</v>
      </c>
      <c r="E21" s="5">
        <f>IF(D21="High",50,IF(D21="Moderate",25,IF(D21="Low",0,IF(D21="I would like to improve",0))))</f>
        <v>50</v>
      </c>
    </row>
    <row r="22" spans="1:5" ht="35.1" customHeight="1" x14ac:dyDescent="0.25">
      <c r="A22" s="9"/>
      <c r="B22" s="15" t="s">
        <v>130</v>
      </c>
      <c r="C22" s="31"/>
      <c r="D22" s="13"/>
      <c r="E22" s="14" t="s">
        <v>9</v>
      </c>
    </row>
    <row r="23" spans="1:5" ht="20.100000000000001" customHeight="1" x14ac:dyDescent="0.25">
      <c r="A23" s="1">
        <v>18</v>
      </c>
      <c r="C23" s="28" t="s">
        <v>122</v>
      </c>
      <c r="D23" s="4" t="s">
        <v>275</v>
      </c>
      <c r="E23" s="5">
        <f>IF(D23="5Xs/week",50,IF(D23="3-4Xs/week",50,IF(D23="1-2Xs/week",25,IF(D23="&lt;1X/week",0,0))))</f>
        <v>25</v>
      </c>
    </row>
    <row r="24" spans="1:5" ht="20.100000000000001" customHeight="1" x14ac:dyDescent="0.25">
      <c r="A24" s="1">
        <v>19</v>
      </c>
      <c r="C24" s="30" t="s">
        <v>118</v>
      </c>
      <c r="D24" s="4" t="s">
        <v>11</v>
      </c>
      <c r="E24" s="5">
        <f>IF(D24="yes",25,0)</f>
        <v>25</v>
      </c>
    </row>
    <row r="25" spans="1:5" ht="20.100000000000001" customHeight="1" x14ac:dyDescent="0.25">
      <c r="A25" s="1">
        <v>20</v>
      </c>
      <c r="C25" s="30" t="s">
        <v>128</v>
      </c>
      <c r="D25" s="4" t="s">
        <v>11</v>
      </c>
      <c r="E25" s="5">
        <f>IF(D25="yes",25,0)</f>
        <v>25</v>
      </c>
    </row>
    <row r="26" spans="1:5" ht="20.100000000000001" customHeight="1" x14ac:dyDescent="0.25">
      <c r="A26" s="1">
        <v>21</v>
      </c>
      <c r="C26" s="30" t="s">
        <v>261</v>
      </c>
      <c r="D26" s="4" t="s">
        <v>11</v>
      </c>
      <c r="E26" s="5">
        <f>IF(D26="yes",25,0)</f>
        <v>25</v>
      </c>
    </row>
    <row r="27" spans="1:5" ht="20.100000000000001" customHeight="1" x14ac:dyDescent="0.25">
      <c r="A27" s="1">
        <v>22</v>
      </c>
      <c r="C27" s="30" t="s">
        <v>123</v>
      </c>
      <c r="D27" s="4" t="s">
        <v>11</v>
      </c>
      <c r="E27" s="5">
        <f>IF(D27="yes",25,0)</f>
        <v>25</v>
      </c>
    </row>
    <row r="28" spans="1:5" ht="20.100000000000001" customHeight="1" x14ac:dyDescent="0.25">
      <c r="A28" s="1">
        <v>23</v>
      </c>
      <c r="C28" s="30" t="s">
        <v>124</v>
      </c>
      <c r="D28" s="4" t="s">
        <v>11</v>
      </c>
      <c r="E28" s="5">
        <f>IF(D28="yes",25,0)</f>
        <v>25</v>
      </c>
    </row>
    <row r="29" spans="1:5" ht="20.100000000000001" customHeight="1" x14ac:dyDescent="0.25">
      <c r="A29" s="1">
        <v>24</v>
      </c>
      <c r="C29" s="30" t="s">
        <v>288</v>
      </c>
      <c r="D29" s="4" t="s">
        <v>121</v>
      </c>
      <c r="E29" s="5">
        <f>IF(D29="Increased",50,IF(D29="Maintained",35,IF(D29="Deminished",0,0)))</f>
        <v>50</v>
      </c>
    </row>
    <row r="30" spans="1:5" ht="20.100000000000001" customHeight="1" x14ac:dyDescent="0.25">
      <c r="A30" s="1">
        <v>25</v>
      </c>
      <c r="C30" s="30" t="s">
        <v>127</v>
      </c>
      <c r="D30" s="4" t="s">
        <v>117</v>
      </c>
      <c r="E30" s="5">
        <f>IF(D30="High",50,IF(D30="Moderate",25,IF(D30="Low",0,IF(D30="I would like to improve",0))))</f>
        <v>50</v>
      </c>
    </row>
    <row r="31" spans="1:5" ht="15.6" x14ac:dyDescent="0.25">
      <c r="A31" s="9"/>
      <c r="B31" s="15" t="s">
        <v>129</v>
      </c>
      <c r="C31" s="31"/>
      <c r="D31" s="13"/>
      <c r="E31" s="14" t="s">
        <v>9</v>
      </c>
    </row>
    <row r="32" spans="1:5" ht="20.100000000000001" customHeight="1" x14ac:dyDescent="0.25">
      <c r="A32" s="1">
        <v>26</v>
      </c>
      <c r="C32" s="28" t="s">
        <v>133</v>
      </c>
      <c r="D32" s="4" t="s">
        <v>202</v>
      </c>
      <c r="E32" s="5">
        <f>IF(D32="5Xs/week",50,IF(D32="3-4Xs/week",50,IF(D32="1-2Xs/week",25,IF(D32="&lt;1X/week",0,0))))</f>
        <v>50</v>
      </c>
    </row>
    <row r="33" spans="1:5" ht="20.100000000000001" customHeight="1" x14ac:dyDescent="0.25">
      <c r="A33" s="1">
        <v>27</v>
      </c>
      <c r="C33" s="30" t="s">
        <v>118</v>
      </c>
      <c r="D33" s="4" t="s">
        <v>11</v>
      </c>
      <c r="E33" s="5">
        <f>IF(D33="yes",25,0)</f>
        <v>25</v>
      </c>
    </row>
    <row r="34" spans="1:5" ht="20.100000000000001" customHeight="1" x14ac:dyDescent="0.25">
      <c r="A34" s="1">
        <v>28</v>
      </c>
      <c r="C34" s="30" t="s">
        <v>134</v>
      </c>
      <c r="D34" s="4" t="s">
        <v>11</v>
      </c>
      <c r="E34" s="5">
        <f>IF(D34="yes",25,0)</f>
        <v>25</v>
      </c>
    </row>
    <row r="35" spans="1:5" ht="20.100000000000001" customHeight="1" x14ac:dyDescent="0.25">
      <c r="A35" s="1">
        <v>29</v>
      </c>
      <c r="C35" s="30" t="s">
        <v>135</v>
      </c>
      <c r="D35" s="4" t="s">
        <v>11</v>
      </c>
      <c r="E35" s="5">
        <f>IF(D35="yes",25,0)</f>
        <v>25</v>
      </c>
    </row>
    <row r="36" spans="1:5" ht="20.100000000000001" customHeight="1" x14ac:dyDescent="0.25">
      <c r="A36" s="1">
        <v>30</v>
      </c>
      <c r="C36" s="30" t="s">
        <v>136</v>
      </c>
      <c r="D36" s="4" t="s">
        <v>11</v>
      </c>
      <c r="E36" s="5">
        <f>IF(D36="yes",25,0)</f>
        <v>25</v>
      </c>
    </row>
    <row r="37" spans="1:5" ht="30" x14ac:dyDescent="0.25">
      <c r="A37" s="1">
        <v>31</v>
      </c>
      <c r="C37" s="30" t="s">
        <v>291</v>
      </c>
      <c r="D37" s="4" t="s">
        <v>11</v>
      </c>
      <c r="E37" s="5">
        <f>IF(D37="yes",25,0)</f>
        <v>25</v>
      </c>
    </row>
    <row r="38" spans="1:5" ht="20.100000000000001" customHeight="1" x14ac:dyDescent="0.25">
      <c r="A38" s="1">
        <v>32</v>
      </c>
      <c r="C38" s="30" t="s">
        <v>289</v>
      </c>
      <c r="D38" s="4" t="s">
        <v>121</v>
      </c>
      <c r="E38" s="5">
        <f>IF(D38="Increased",50,IF(D38="Maintained",35,IF(D38="Deminished",0,0)))</f>
        <v>50</v>
      </c>
    </row>
    <row r="39" spans="1:5" ht="20.100000000000001" customHeight="1" x14ac:dyDescent="0.25">
      <c r="A39" s="1">
        <v>33</v>
      </c>
      <c r="C39" s="30" t="s">
        <v>292</v>
      </c>
      <c r="D39" s="4" t="s">
        <v>117</v>
      </c>
      <c r="E39" s="5">
        <f>IF(D39="High",50,IF(D39="Moderate",25,IF(D39="Low",0,IF(D39="I would like to improve",0))))</f>
        <v>50</v>
      </c>
    </row>
    <row r="40" spans="1:5" ht="15.6" x14ac:dyDescent="0.25">
      <c r="A40" s="9"/>
      <c r="B40" s="15" t="s">
        <v>63</v>
      </c>
      <c r="C40" s="33"/>
      <c r="D40" s="17"/>
      <c r="E40" s="18" t="s">
        <v>9</v>
      </c>
    </row>
    <row r="41" spans="1:5" ht="25.05" customHeight="1" x14ac:dyDescent="0.25">
      <c r="A41" s="1">
        <v>34</v>
      </c>
      <c r="C41" s="30" t="s">
        <v>290</v>
      </c>
      <c r="D41" s="4" t="s">
        <v>20</v>
      </c>
      <c r="E41" s="5">
        <f>IF(D41="Never",0,IF(D41="Sometimes",25,30))</f>
        <v>30</v>
      </c>
    </row>
    <row r="42" spans="1:5" ht="20.100000000000001" customHeight="1" x14ac:dyDescent="0.25">
      <c r="A42" s="1">
        <v>35</v>
      </c>
      <c r="C42" s="30" t="s">
        <v>262</v>
      </c>
      <c r="D42" s="4" t="s">
        <v>20</v>
      </c>
      <c r="E42" s="5">
        <f>IF(D42="Often",25,IF(D42="Sometimes",10,0))</f>
        <v>25</v>
      </c>
    </row>
    <row r="43" spans="1:5" ht="20.100000000000001" customHeight="1" x14ac:dyDescent="0.25">
      <c r="A43" s="1">
        <v>36</v>
      </c>
      <c r="C43" s="30" t="s">
        <v>137</v>
      </c>
      <c r="D43" s="4" t="s">
        <v>20</v>
      </c>
      <c r="E43" s="5">
        <f>IF(D43="Often",15,IF(D43="Sometimes",15,0))</f>
        <v>15</v>
      </c>
    </row>
    <row r="44" spans="1:5" ht="20.100000000000001" customHeight="1" x14ac:dyDescent="0.25">
      <c r="A44" s="1">
        <v>37</v>
      </c>
      <c r="C44" s="30" t="s">
        <v>138</v>
      </c>
      <c r="D44" s="4" t="s">
        <v>20</v>
      </c>
      <c r="E44" s="5">
        <f>IF(D44="Never",0,IF(D44="Sometimes",15,25))</f>
        <v>25</v>
      </c>
    </row>
    <row r="45" spans="1:5" ht="20.100000000000001" customHeight="1" x14ac:dyDescent="0.25">
      <c r="A45" s="1">
        <v>38</v>
      </c>
      <c r="C45" s="30" t="s">
        <v>139</v>
      </c>
      <c r="D45" s="4" t="s">
        <v>11</v>
      </c>
      <c r="E45" s="5">
        <f>IF(D45="yes",15,0)</f>
        <v>15</v>
      </c>
    </row>
    <row r="46" spans="1:5" ht="20.100000000000001" customHeight="1" x14ac:dyDescent="0.25">
      <c r="A46" s="1">
        <v>39</v>
      </c>
      <c r="C46" s="30" t="s">
        <v>140</v>
      </c>
      <c r="D46" s="4" t="s">
        <v>20</v>
      </c>
      <c r="E46" s="5">
        <f>IF(D46="Never",0,IF(D46="Sometimes",10,25))</f>
        <v>25</v>
      </c>
    </row>
    <row r="47" spans="1:5" ht="17.399999999999999" x14ac:dyDescent="0.3">
      <c r="A47" s="9"/>
      <c r="B47" s="9"/>
      <c r="C47" s="16"/>
      <c r="D47" s="19" t="s">
        <v>51</v>
      </c>
      <c r="E47" s="20">
        <f>SUM(E3:E46)</f>
        <v>1295</v>
      </c>
    </row>
    <row r="48" spans="1:5" ht="17.399999999999999" x14ac:dyDescent="0.25">
      <c r="A48" s="9"/>
      <c r="B48" s="9"/>
      <c r="C48" s="16"/>
      <c r="D48" s="21" t="s">
        <v>52</v>
      </c>
      <c r="E48" s="22" t="str">
        <f>IF(E47&gt;=1202,"A",IF(E47&gt;=1068,"B",IF(E47&gt;=868,"C",IF(E47&lt;=601,"D"," Poor Exercise Score"))))</f>
        <v>A</v>
      </c>
    </row>
    <row r="50" spans="5:6" x14ac:dyDescent="0.25">
      <c r="F50" s="6"/>
    </row>
    <row r="51" spans="5:6" x14ac:dyDescent="0.25">
      <c r="F51" s="6"/>
    </row>
    <row r="52" spans="5:6" x14ac:dyDescent="0.25">
      <c r="E52" s="6"/>
      <c r="F52" s="36"/>
    </row>
    <row r="53" spans="5:6" x14ac:dyDescent="0.25">
      <c r="E53" s="6"/>
      <c r="F53" s="36"/>
    </row>
    <row r="54" spans="5:6" x14ac:dyDescent="0.25">
      <c r="E54" s="6"/>
      <c r="F54" s="36"/>
    </row>
    <row r="55" spans="5:6" x14ac:dyDescent="0.25">
      <c r="E55" s="6"/>
      <c r="F55" s="36"/>
    </row>
  </sheetData>
  <sheetProtection sheet="1" objects="1" scenarios="1"/>
  <conditionalFormatting sqref="E2:E48">
    <cfRule type="cellIs" dxfId="11" priority="1" operator="equal">
      <formula>0</formula>
    </cfRule>
  </conditionalFormatting>
  <conditionalFormatting sqref="E3:E46">
    <cfRule type="cellIs" dxfId="10" priority="2" operator="equal">
      <formula>0</formula>
    </cfRule>
  </conditionalFormatting>
  <dataValidations count="9">
    <dataValidation type="list" allowBlank="1" showInputMessage="1" showErrorMessage="1" sqref="D40" xr:uid="{D84E940B-EF44-4497-A1E6-82832F3B9F66}">
      <formula1>"Good,Fair,Poor"</formula1>
    </dataValidation>
    <dataValidation type="list" allowBlank="1" showInputMessage="1" showErrorMessage="1" sqref="D13 D31 D22 D41:D44 D46 D3" xr:uid="{AEFF2B72-58C2-415A-810D-823693988D3A}">
      <formula1>"Never,Sometimes,Often"</formula1>
    </dataValidation>
    <dataValidation type="list" allowBlank="1" showInputMessage="1" showErrorMessage="1" sqref="D8 D14 D23 D32" xr:uid="{51653978-1891-4D8D-B0CD-B8463BAA19B3}">
      <formula1>"5Xs/week, 3-4Xs/week, 1-2Xs/week,&lt;1X/week"</formula1>
    </dataValidation>
    <dataValidation type="list" allowBlank="1" showInputMessage="1" showErrorMessage="1" sqref="D7" xr:uid="{409BE3C2-DAB1-4A85-B108-A3E7AA5C8E5D}">
      <formula1>"7–9 hrs,6–7 or 9–10 hrs,&lt;6 or &gt;10 hrs"</formula1>
    </dataValidation>
    <dataValidation type="list" allowBlank="1" showInputMessage="1" showErrorMessage="1" sqref="D15:D19 D5:D6 D9:D10 D24:D28 D33:D37 D45" xr:uid="{BB19A087-B604-4956-9FA0-40AA6140E2A2}">
      <formula1>"No,Yes"</formula1>
    </dataValidation>
    <dataValidation type="list" allowBlank="1" showInputMessage="1" showErrorMessage="1" sqref="D4" xr:uid="{21BDF677-646A-440C-BAB3-AEBA4318345C}">
      <formula1>"&lt;2hours, &gt; 3hours &lt; 5 hours, &gt;6 hours"</formula1>
    </dataValidation>
    <dataValidation type="list" allowBlank="1" showInputMessage="1" showErrorMessage="1" sqref="D39 D21" xr:uid="{62696C94-7B82-4D6D-8B0E-0E3CE910EBFD}">
      <formula1>"High,Moderate,Low,"</formula1>
    </dataValidation>
    <dataValidation type="list" allowBlank="1" showInputMessage="1" showErrorMessage="1" sqref="D11 D20 D29 D38" xr:uid="{D185A6E4-9E42-4BE9-ADE6-919E0872B32A}">
      <formula1>"Increased,maintained,declined"</formula1>
    </dataValidation>
    <dataValidation type="list" allowBlank="1" showInputMessage="1" showErrorMessage="1" sqref="D12 D30" xr:uid="{7BB89030-41D9-4409-B1C0-D3B26E0A421F}">
      <formula1>"High,Moderate,Low"</formula1>
    </dataValidation>
  </dataValidations>
  <hyperlinks>
    <hyperlink ref="G1" location="ReportCard!A1" display="Go to Report Card" xr:uid="{53253E9F-EDB8-46CE-A0E6-7126DC4DC419}"/>
  </hyperlinks>
  <pageMargins left="0.75" right="0.75" top="1" bottom="1" header="0.5" footer="0.5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8DD65-F3EC-4454-9814-4A36170EC7EE}">
  <dimension ref="A1:H25"/>
  <sheetViews>
    <sheetView showGridLines="0" zoomScale="90" zoomScaleNormal="90" workbookViewId="0">
      <pane ySplit="1" topLeftCell="A2" activePane="bottomLeft" state="frozen"/>
      <selection pane="bottomLeft" activeCell="G1" sqref="G1"/>
    </sheetView>
  </sheetViews>
  <sheetFormatPr defaultColWidth="52.5546875" defaultRowHeight="15" x14ac:dyDescent="0.25"/>
  <cols>
    <col min="1" max="1" width="5.6640625" style="1" customWidth="1"/>
    <col min="2" max="2" width="33.88671875" style="1" customWidth="1"/>
    <col min="3" max="3" width="82.5546875" style="2" customWidth="1"/>
    <col min="4" max="4" width="28.33203125" style="2" customWidth="1"/>
    <col min="5" max="5" width="30.88671875" style="2" customWidth="1"/>
    <col min="6" max="6" width="19" style="2" customWidth="1"/>
    <col min="7" max="7" width="31.5546875" style="2" customWidth="1"/>
    <col min="8" max="8" width="33.88671875" style="2" customWidth="1"/>
    <col min="9" max="16384" width="52.5546875" style="2"/>
  </cols>
  <sheetData>
    <row r="1" spans="1:8" ht="15.6" x14ac:dyDescent="0.3">
      <c r="A1" s="7" t="s">
        <v>0</v>
      </c>
      <c r="B1" s="7" t="s">
        <v>142</v>
      </c>
      <c r="C1" s="8" t="s">
        <v>2</v>
      </c>
      <c r="D1" s="8" t="s">
        <v>3</v>
      </c>
      <c r="E1" s="8" t="s">
        <v>4</v>
      </c>
      <c r="F1" s="1"/>
      <c r="G1" s="23" t="s">
        <v>65</v>
      </c>
      <c r="H1" s="1"/>
    </row>
    <row r="2" spans="1:8" ht="30" customHeight="1" x14ac:dyDescent="0.3">
      <c r="A2" s="9"/>
      <c r="B2" s="10" t="s">
        <v>186</v>
      </c>
      <c r="C2" s="29"/>
      <c r="D2" s="13"/>
      <c r="E2" s="14" t="s">
        <v>9</v>
      </c>
    </row>
    <row r="3" spans="1:8" ht="19.95" customHeight="1" x14ac:dyDescent="0.25">
      <c r="A3" s="1">
        <v>1</v>
      </c>
      <c r="B3" s="2"/>
      <c r="C3" s="28" t="s">
        <v>143</v>
      </c>
      <c r="D3" s="4" t="s">
        <v>11</v>
      </c>
      <c r="E3" s="5">
        <f>IF(D3="yes",50,0)</f>
        <v>50</v>
      </c>
    </row>
    <row r="4" spans="1:8" ht="19.95" customHeight="1" x14ac:dyDescent="0.25">
      <c r="A4" s="1">
        <v>2</v>
      </c>
      <c r="C4" s="30" t="s">
        <v>144</v>
      </c>
      <c r="D4" s="4" t="s">
        <v>23</v>
      </c>
      <c r="E4" s="5">
        <f>IF(D4="No",50,0)</f>
        <v>50</v>
      </c>
    </row>
    <row r="5" spans="1:8" ht="19.95" customHeight="1" x14ac:dyDescent="0.25">
      <c r="A5" s="1">
        <v>3</v>
      </c>
      <c r="C5" s="37" t="s">
        <v>149</v>
      </c>
      <c r="D5" s="4" t="s">
        <v>23</v>
      </c>
      <c r="E5" s="5">
        <f>IF(D5="No",50,0)</f>
        <v>50</v>
      </c>
    </row>
    <row r="6" spans="1:8" ht="30" customHeight="1" x14ac:dyDescent="0.25">
      <c r="A6" s="9"/>
      <c r="B6" s="15" t="s">
        <v>145</v>
      </c>
      <c r="C6" s="31"/>
      <c r="D6" s="13"/>
      <c r="E6" s="14" t="s">
        <v>9</v>
      </c>
    </row>
    <row r="7" spans="1:8" ht="19.95" customHeight="1" x14ac:dyDescent="0.25">
      <c r="A7" s="1">
        <v>4</v>
      </c>
      <c r="B7" s="2"/>
      <c r="C7" s="28" t="s">
        <v>195</v>
      </c>
      <c r="D7" s="4" t="s">
        <v>151</v>
      </c>
      <c r="E7" s="5">
        <f>IF(D7="&lt;150 mg/dl",50,IF(D7="&lt;200 &gt;150 mg/dl",35,IF(D7="&gt;200 mg/dl",0,0)))</f>
        <v>50</v>
      </c>
    </row>
    <row r="8" spans="1:8" ht="19.95" customHeight="1" x14ac:dyDescent="0.25">
      <c r="A8" s="1">
        <v>5</v>
      </c>
      <c r="C8" s="30" t="s">
        <v>146</v>
      </c>
      <c r="D8" s="4" t="s">
        <v>150</v>
      </c>
      <c r="E8" s="5">
        <f>IF(D8="&lt;70mg/dl",50,IF(D8="&lt;100mg/dl",45,IF(D8="&lt;129mg/dl",35,IF(D8="&gt;130mg/dl",0,0))))</f>
        <v>50</v>
      </c>
    </row>
    <row r="9" spans="1:8" ht="19.95" customHeight="1" x14ac:dyDescent="0.25">
      <c r="A9" s="1">
        <v>6</v>
      </c>
      <c r="C9" s="30" t="s">
        <v>147</v>
      </c>
      <c r="D9" s="4" t="s">
        <v>152</v>
      </c>
      <c r="E9" s="5">
        <f>IF(D9="&gt;60 mg/dl",50,IF(D9="Male 40-59 mg/dl",25,IF(D9="female 50-59mg/dl",25,IF(D9="Male &lt;40mg/dl",0,IF(D9="Female &lt;50 mg/dl",0)))))</f>
        <v>50</v>
      </c>
    </row>
    <row r="10" spans="1:8" ht="19.95" customHeight="1" x14ac:dyDescent="0.25">
      <c r="A10" s="1">
        <v>7</v>
      </c>
      <c r="C10" s="30" t="s">
        <v>153</v>
      </c>
      <c r="D10" s="4" t="s">
        <v>154</v>
      </c>
      <c r="E10" s="5">
        <f>IF(D10="&lt;130 mg/dl",50,IF(D10="&gt;130 mg/dl",0,0))</f>
        <v>50</v>
      </c>
    </row>
    <row r="11" spans="1:8" ht="19.95" customHeight="1" x14ac:dyDescent="0.25">
      <c r="A11" s="1">
        <v>8</v>
      </c>
      <c r="C11" s="30" t="s">
        <v>148</v>
      </c>
      <c r="D11" s="4" t="s">
        <v>155</v>
      </c>
      <c r="E11" s="5">
        <f>IF(D11="&lt;150 mg/dL",50,IF(D11="151-199 mg/dL",40,IF(D11="200-499 mg/dl",15,IF(D11="&gt;500mg/dl",0,0))))</f>
        <v>50</v>
      </c>
    </row>
    <row r="12" spans="1:8" ht="30" customHeight="1" x14ac:dyDescent="0.25">
      <c r="A12" s="9"/>
      <c r="B12" s="15" t="s">
        <v>156</v>
      </c>
      <c r="C12" s="31"/>
      <c r="D12" s="13"/>
      <c r="E12" s="14" t="s">
        <v>9</v>
      </c>
    </row>
    <row r="13" spans="1:8" ht="19.95" customHeight="1" x14ac:dyDescent="0.25">
      <c r="A13" s="1">
        <v>9</v>
      </c>
      <c r="C13" s="28" t="s">
        <v>160</v>
      </c>
      <c r="D13" s="5" t="str">
        <f>+ReportCard!C5</f>
        <v>A</v>
      </c>
      <c r="E13" s="5">
        <f>IF(D13="A",50,IF(D13="B",40,IF(D13="C",0,0)))</f>
        <v>50</v>
      </c>
    </row>
    <row r="14" spans="1:8" ht="19.95" customHeight="1" x14ac:dyDescent="0.25">
      <c r="A14" s="1">
        <v>10</v>
      </c>
      <c r="C14" s="30" t="s">
        <v>192</v>
      </c>
      <c r="D14" s="5" t="str">
        <f>ReportCard!C6</f>
        <v>A</v>
      </c>
      <c r="E14" s="5">
        <f>IF(D14="A",50,IF(D14="B",40,IF(D14="C",0,0)))</f>
        <v>50</v>
      </c>
    </row>
    <row r="15" spans="1:8" ht="19.95" customHeight="1" x14ac:dyDescent="0.25">
      <c r="A15" s="1">
        <v>11</v>
      </c>
      <c r="C15" s="30" t="s">
        <v>193</v>
      </c>
      <c r="D15" s="5" t="str">
        <f>+ReportCard!C10</f>
        <v>A</v>
      </c>
      <c r="E15" s="5">
        <f>IF(D15="A",50,IF(D15="B",40,IF(D15="C",0,0)))</f>
        <v>50</v>
      </c>
    </row>
    <row r="16" spans="1:8" ht="19.95" customHeight="1" x14ac:dyDescent="0.25">
      <c r="A16" s="1">
        <v>12</v>
      </c>
      <c r="C16" s="30" t="s">
        <v>191</v>
      </c>
      <c r="D16" s="5" t="str">
        <f>+ReportCard!C11</f>
        <v>A</v>
      </c>
      <c r="E16" s="5">
        <f>IF(D16="A",50,IF(D16="B",40,IF(D16="C",0,0)))</f>
        <v>50</v>
      </c>
    </row>
    <row r="17" spans="1:6" x14ac:dyDescent="0.25">
      <c r="C17" s="28"/>
      <c r="E17" s="2" t="s">
        <v>9</v>
      </c>
    </row>
    <row r="18" spans="1:6" ht="30" customHeight="1" x14ac:dyDescent="0.3">
      <c r="A18" s="9"/>
      <c r="B18" s="9"/>
      <c r="C18" s="16"/>
      <c r="D18" s="19" t="s">
        <v>187</v>
      </c>
      <c r="E18" s="20">
        <f>SUM(E2:E16)</f>
        <v>600</v>
      </c>
    </row>
    <row r="19" spans="1:6" ht="30" customHeight="1" x14ac:dyDescent="0.25">
      <c r="A19" s="9"/>
      <c r="B19" s="9"/>
      <c r="C19" s="16"/>
      <c r="D19" s="21" t="s">
        <v>52</v>
      </c>
      <c r="E19" s="22" t="str">
        <f>IF(E18&gt;=531,"A",IF(E18&gt;=472,"B",IF(E18&gt;=413,"C",IF(E18&lt;=295,"D"," Poor Lipid Factor Score"))))</f>
        <v>A</v>
      </c>
    </row>
    <row r="21" spans="1:6" x14ac:dyDescent="0.25">
      <c r="F21" s="6"/>
    </row>
    <row r="22" spans="1:6" x14ac:dyDescent="0.25">
      <c r="E22" s="6"/>
      <c r="F22" s="36"/>
    </row>
    <row r="23" spans="1:6" x14ac:dyDescent="0.25">
      <c r="E23" s="6"/>
      <c r="F23" s="36"/>
    </row>
    <row r="24" spans="1:6" x14ac:dyDescent="0.25">
      <c r="E24" s="6"/>
      <c r="F24" s="36"/>
    </row>
    <row r="25" spans="1:6" x14ac:dyDescent="0.25">
      <c r="E25" s="6"/>
      <c r="F25" s="36"/>
    </row>
  </sheetData>
  <sheetProtection sheet="1" objects="1" scenarios="1"/>
  <conditionalFormatting sqref="E2:E16">
    <cfRule type="cellIs" dxfId="9" priority="2" operator="equal">
      <formula>0</formula>
    </cfRule>
  </conditionalFormatting>
  <conditionalFormatting sqref="E2:E19">
    <cfRule type="cellIs" dxfId="8" priority="1" operator="equal">
      <formula>0</formula>
    </cfRule>
  </conditionalFormatting>
  <dataValidations count="9">
    <dataValidation type="list" allowBlank="1" showInputMessage="1" showErrorMessage="1" sqref="D3:D5" xr:uid="{757C857D-7E92-4414-B60A-E7F5212C14F9}">
      <formula1>"No,Yes"</formula1>
    </dataValidation>
    <dataValidation type="list" allowBlank="1" showInputMessage="1" showErrorMessage="1" sqref="D12 D6" xr:uid="{98FB50DB-2F1F-40A4-ABF6-38CB52FFB5A6}">
      <formula1>"Never,Sometimes,Often"</formula1>
    </dataValidation>
    <dataValidation type="list" allowBlank="1" showInputMessage="1" showErrorMessage="1" sqref="D17" xr:uid="{7AA3C6A3-DDAA-4145-AAFA-53F43D9B1C5F}">
      <formula1>"Good,Fair,Poor"</formula1>
    </dataValidation>
    <dataValidation type="list" allowBlank="1" showInputMessage="1" showErrorMessage="1" sqref="D2" xr:uid="{92D1AE67-082B-4F65-B654-7F12B4F4E21E}">
      <formula1>"7–9 hrs,6–7 or 9–10 hrs,&lt;6 or &gt;10 hrs"</formula1>
    </dataValidation>
    <dataValidation type="list" allowBlank="1" showInputMessage="1" showErrorMessage="1" sqref="D10" xr:uid="{EA87AE47-527B-42E7-94A0-7A49A3B13A25}">
      <formula1>"&gt;130 mg/dl,&lt;130 mg/dl"</formula1>
    </dataValidation>
    <dataValidation type="list" allowBlank="1" showInputMessage="1" showErrorMessage="1" sqref="D7" xr:uid="{AF8A9C19-88D9-4032-8D95-DAED3389BD9E}">
      <formula1>"&gt;200 mg/dl,&lt;200 &gt;150 mg/dl, &lt;150 mg/dl"</formula1>
    </dataValidation>
    <dataValidation type="list" allowBlank="1" showInputMessage="1" showErrorMessage="1" sqref="D8" xr:uid="{DC9123BA-660C-4929-B2D6-78B295534DB1}">
      <formula1>"&lt;70mg/dl,&lt;100mg/dl,&lt;129mg/dl,&gt;130mg/dl"</formula1>
    </dataValidation>
    <dataValidation type="list" allowBlank="1" showInputMessage="1" showErrorMessage="1" sqref="D9" xr:uid="{4FD2A494-047D-420F-818B-6B644613FF0D}">
      <formula1>"&gt;60 mg/dl,Male 40-59 mg/dl,Female 50-59mg/dl,Male &lt;40mg/dl,Female &lt;50 mg/dl"</formula1>
    </dataValidation>
    <dataValidation type="list" allowBlank="1" showInputMessage="1" showErrorMessage="1" sqref="D11" xr:uid="{BA39869D-0545-40BC-9D92-9CDF711453DA}">
      <formula1>"&lt;150 mg/dL,151-199 mg/dL,200-499 mg/dl,&gt;500 mg/dl"</formula1>
    </dataValidation>
  </dataValidations>
  <hyperlinks>
    <hyperlink ref="G1" location="ReportCard!A1" display="Go to Report Card" xr:uid="{9604DECD-5618-4833-964E-759B77FD23B1}"/>
  </hyperlinks>
  <pageMargins left="0.75" right="0.75" top="1" bottom="1" header="0.5" footer="0.5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CE9E4-709D-4985-8075-0B246D3AFEF2}">
  <dimension ref="A1:H28"/>
  <sheetViews>
    <sheetView showGridLines="0" zoomScale="90" zoomScaleNormal="90" workbookViewId="0">
      <pane ySplit="1" topLeftCell="A2" activePane="bottomLeft" state="frozen"/>
      <selection pane="bottomLeft"/>
    </sheetView>
  </sheetViews>
  <sheetFormatPr defaultColWidth="52.5546875" defaultRowHeight="15" x14ac:dyDescent="0.25"/>
  <cols>
    <col min="1" max="1" width="5.6640625" style="1" customWidth="1"/>
    <col min="2" max="2" width="33.88671875" style="1" customWidth="1"/>
    <col min="3" max="3" width="66.5546875" style="2" customWidth="1"/>
    <col min="4" max="4" width="28.33203125" style="2" customWidth="1"/>
    <col min="5" max="5" width="30.88671875" style="2" customWidth="1"/>
    <col min="6" max="6" width="19" style="2" customWidth="1"/>
    <col min="7" max="7" width="31.5546875" style="2" customWidth="1"/>
    <col min="8" max="8" width="33.88671875" style="2" customWidth="1"/>
    <col min="9" max="16384" width="52.5546875" style="2"/>
  </cols>
  <sheetData>
    <row r="1" spans="1:8" ht="15.6" x14ac:dyDescent="0.3">
      <c r="A1" s="7" t="s">
        <v>0</v>
      </c>
      <c r="B1" s="7" t="s">
        <v>163</v>
      </c>
      <c r="C1" s="8" t="s">
        <v>2</v>
      </c>
      <c r="D1" s="8" t="s">
        <v>3</v>
      </c>
      <c r="E1" s="8" t="s">
        <v>4</v>
      </c>
      <c r="F1" s="1"/>
      <c r="G1" s="23" t="s">
        <v>65</v>
      </c>
      <c r="H1" s="1"/>
    </row>
    <row r="2" spans="1:8" ht="30" customHeight="1" x14ac:dyDescent="0.3">
      <c r="A2" s="9"/>
      <c r="B2" s="10" t="s">
        <v>165</v>
      </c>
      <c r="C2" s="34"/>
      <c r="D2" s="12"/>
      <c r="E2" s="12" t="s">
        <v>9</v>
      </c>
      <c r="F2" s="1"/>
      <c r="G2" s="1"/>
      <c r="H2" s="1"/>
    </row>
    <row r="3" spans="1:8" ht="19.95" customHeight="1" x14ac:dyDescent="0.25">
      <c r="A3" s="1">
        <v>1</v>
      </c>
      <c r="B3" s="2"/>
      <c r="C3" s="28" t="s">
        <v>166</v>
      </c>
      <c r="D3" s="4" t="s">
        <v>23</v>
      </c>
      <c r="E3" s="5">
        <f>IF(D3="yes",0,100)</f>
        <v>100</v>
      </c>
    </row>
    <row r="4" spans="1:8" ht="30" customHeight="1" x14ac:dyDescent="0.3">
      <c r="A4" s="9"/>
      <c r="B4" s="10" t="s">
        <v>164</v>
      </c>
      <c r="C4" s="29"/>
      <c r="D4" s="13"/>
      <c r="E4" s="14" t="s">
        <v>9</v>
      </c>
    </row>
    <row r="5" spans="1:8" ht="19.95" customHeight="1" x14ac:dyDescent="0.25">
      <c r="A5" s="1">
        <v>2</v>
      </c>
      <c r="B5" s="2"/>
      <c r="C5" s="28" t="s">
        <v>271</v>
      </c>
      <c r="D5" s="4" t="s">
        <v>167</v>
      </c>
      <c r="E5" s="5">
        <f>IF(D5="Annually",40,IF(D5="Twice per year",50,IF(D5="Less often",25,0)))</f>
        <v>50</v>
      </c>
    </row>
    <row r="6" spans="1:8" ht="19.95" customHeight="1" x14ac:dyDescent="0.25">
      <c r="A6" s="1">
        <v>3</v>
      </c>
      <c r="C6" s="30" t="s">
        <v>272</v>
      </c>
      <c r="D6" s="4" t="s">
        <v>168</v>
      </c>
      <c r="E6" s="5">
        <f>IF(D6="&lt;100 mg/dl",50,IF(D6="100-125 mg/dl",25,IF(D6="&gt;126 mg/dl",0,0)))</f>
        <v>50</v>
      </c>
    </row>
    <row r="7" spans="1:8" ht="19.95" customHeight="1" x14ac:dyDescent="0.25">
      <c r="A7" s="1">
        <v>4</v>
      </c>
      <c r="C7" s="30" t="s">
        <v>169</v>
      </c>
      <c r="D7" s="4" t="s">
        <v>11</v>
      </c>
      <c r="E7" s="5">
        <f>IF(D7="Yes",50,0)</f>
        <v>50</v>
      </c>
    </row>
    <row r="8" spans="1:8" ht="19.95" customHeight="1" x14ac:dyDescent="0.25">
      <c r="A8" s="1">
        <v>5</v>
      </c>
      <c r="C8" s="30" t="s">
        <v>170</v>
      </c>
      <c r="D8" s="4" t="s">
        <v>171</v>
      </c>
      <c r="E8" s="5">
        <f>IF(D8="&lt;5.7%",50,IF(D8="5.7-6.4%",15,IF(D8="&gt;6.5%",0,0)))</f>
        <v>50</v>
      </c>
    </row>
    <row r="9" spans="1:8" ht="30" customHeight="1" x14ac:dyDescent="0.25">
      <c r="A9" s="9"/>
      <c r="B9" s="15" t="s">
        <v>172</v>
      </c>
      <c r="C9" s="31"/>
      <c r="D9" s="13"/>
      <c r="E9" s="14" t="s">
        <v>9</v>
      </c>
    </row>
    <row r="10" spans="1:8" ht="19.95" customHeight="1" x14ac:dyDescent="0.25">
      <c r="A10" s="1">
        <v>6</v>
      </c>
      <c r="B10" s="2"/>
      <c r="C10" s="28" t="s">
        <v>160</v>
      </c>
      <c r="D10" s="5" t="str">
        <f>+ReportCard!C5</f>
        <v>A</v>
      </c>
      <c r="E10" s="5">
        <f>IF(D10="A",50,IF(D10="B",40,IF(D10="C",0,0)))</f>
        <v>50</v>
      </c>
    </row>
    <row r="11" spans="1:8" ht="19.95" customHeight="1" x14ac:dyDescent="0.25">
      <c r="A11" s="1">
        <v>7</v>
      </c>
      <c r="C11" s="30" t="s">
        <v>161</v>
      </c>
      <c r="D11" s="5" t="str">
        <f>+ReportCard!C6</f>
        <v>A</v>
      </c>
      <c r="E11" s="5">
        <f>IF(D11="A",50,IF(D11="B",40,IF(D11="C",0,0)))</f>
        <v>50</v>
      </c>
    </row>
    <row r="12" spans="1:8" ht="19.95" customHeight="1" x14ac:dyDescent="0.25">
      <c r="A12" s="1">
        <v>8</v>
      </c>
      <c r="C12" s="30" t="s">
        <v>162</v>
      </c>
      <c r="D12" s="5" t="str">
        <f>+ReportCard!C10</f>
        <v>A</v>
      </c>
      <c r="E12" s="5">
        <f>IF(D12="A",50,IF(D12="B",40,IF(D12="C",0,0)))</f>
        <v>50</v>
      </c>
    </row>
    <row r="13" spans="1:8" ht="19.95" customHeight="1" x14ac:dyDescent="0.25">
      <c r="A13" s="1">
        <v>9</v>
      </c>
      <c r="C13" s="30" t="s">
        <v>173</v>
      </c>
      <c r="D13" s="5" t="str">
        <f>+ReportCard!C9</f>
        <v>A</v>
      </c>
      <c r="E13" s="5">
        <f>IF(D13="A",50,IF(D13="B",40,IF(D13="C",0,0)))</f>
        <v>50</v>
      </c>
    </row>
    <row r="14" spans="1:8" ht="19.95" customHeight="1" x14ac:dyDescent="0.25">
      <c r="A14" s="1">
        <v>10</v>
      </c>
      <c r="C14" s="30" t="s">
        <v>174</v>
      </c>
      <c r="D14" s="5" t="str">
        <f>+ReportCard!C7</f>
        <v>A</v>
      </c>
      <c r="E14" s="5">
        <f>IF(D14="A",50,IF(D14="B",40,IF(D14="C",0,0)))</f>
        <v>50</v>
      </c>
    </row>
    <row r="15" spans="1:8" ht="30" customHeight="1" x14ac:dyDescent="0.25">
      <c r="A15" s="9"/>
      <c r="B15" s="15" t="s">
        <v>175</v>
      </c>
      <c r="C15" s="31"/>
      <c r="D15" s="13"/>
      <c r="E15" s="14" t="s">
        <v>9</v>
      </c>
    </row>
    <row r="16" spans="1:8" ht="19.95" customHeight="1" x14ac:dyDescent="0.25">
      <c r="A16" s="1">
        <v>11</v>
      </c>
      <c r="C16" s="28" t="s">
        <v>273</v>
      </c>
      <c r="D16" s="4" t="s">
        <v>20</v>
      </c>
      <c r="E16" s="5">
        <f>IF(D16="Never",0,IF(D16="Sometimes",10,20))</f>
        <v>20</v>
      </c>
    </row>
    <row r="17" spans="1:6" ht="19.95" customHeight="1" x14ac:dyDescent="0.25">
      <c r="A17" s="1">
        <v>12</v>
      </c>
      <c r="C17" s="30" t="s">
        <v>176</v>
      </c>
      <c r="D17" s="4" t="s">
        <v>20</v>
      </c>
      <c r="E17" s="5">
        <f>IF(D17="Never",0,IF(D17="Sometimes",25,50))</f>
        <v>50</v>
      </c>
    </row>
    <row r="18" spans="1:6" ht="19.95" customHeight="1" x14ac:dyDescent="0.25">
      <c r="A18" s="1">
        <v>13</v>
      </c>
      <c r="C18" s="30" t="s">
        <v>177</v>
      </c>
      <c r="D18" s="4" t="s">
        <v>11</v>
      </c>
      <c r="E18" s="5">
        <f>IF(D18="Yes",25,IF(D18="no",0,0))</f>
        <v>25</v>
      </c>
    </row>
    <row r="19" spans="1:6" x14ac:dyDescent="0.25">
      <c r="C19" s="28"/>
      <c r="E19" s="2" t="s">
        <v>9</v>
      </c>
    </row>
    <row r="20" spans="1:6" ht="30" customHeight="1" x14ac:dyDescent="0.3">
      <c r="A20" s="9"/>
      <c r="B20" s="9"/>
      <c r="C20" s="16"/>
      <c r="D20" s="19" t="s">
        <v>51</v>
      </c>
      <c r="E20" s="20">
        <f>SUM(E3:E18)</f>
        <v>645</v>
      </c>
    </row>
    <row r="21" spans="1:6" ht="30" customHeight="1" x14ac:dyDescent="0.25">
      <c r="A21" s="9"/>
      <c r="B21" s="9"/>
      <c r="C21" s="16"/>
      <c r="D21" s="21" t="s">
        <v>52</v>
      </c>
      <c r="E21" s="22" t="str">
        <f>IF(E20&gt;=590,"A",IF(E20&gt;=524,"B",IF(E20&gt;=393,"C",IF(E20&lt;=262,"D"," Poor Glucose Factor Score"))))</f>
        <v>A</v>
      </c>
    </row>
    <row r="23" spans="1:6" x14ac:dyDescent="0.25">
      <c r="F23" s="6"/>
    </row>
    <row r="24" spans="1:6" x14ac:dyDescent="0.25">
      <c r="F24" s="6"/>
    </row>
    <row r="25" spans="1:6" x14ac:dyDescent="0.25">
      <c r="E25" s="6"/>
      <c r="F25" s="36"/>
    </row>
    <row r="26" spans="1:6" x14ac:dyDescent="0.25">
      <c r="E26" s="6"/>
      <c r="F26" s="36"/>
    </row>
    <row r="27" spans="1:6" x14ac:dyDescent="0.25">
      <c r="E27" s="6"/>
      <c r="F27" s="36"/>
    </row>
    <row r="28" spans="1:6" x14ac:dyDescent="0.25">
      <c r="E28" s="6"/>
      <c r="F28" s="36"/>
    </row>
  </sheetData>
  <sheetProtection sheet="1" objects="1" scenarios="1"/>
  <conditionalFormatting sqref="E2:E21">
    <cfRule type="cellIs" dxfId="7" priority="1" operator="equal">
      <formula>0</formula>
    </cfRule>
  </conditionalFormatting>
  <conditionalFormatting sqref="E3:E18">
    <cfRule type="cellIs" dxfId="6" priority="2" operator="equal">
      <formula>0</formula>
    </cfRule>
  </conditionalFormatting>
  <dataValidations count="7">
    <dataValidation type="list" allowBlank="1" showInputMessage="1" showErrorMessage="1" sqref="D19" xr:uid="{745B5BE6-BBC9-4534-ADC8-BD90E3E575B1}">
      <formula1>"Good,Fair,Poor"</formula1>
    </dataValidation>
    <dataValidation type="list" allowBlank="1" showInputMessage="1" showErrorMessage="1" sqref="D9 D15:D17" xr:uid="{D6FCBB71-DB16-467E-8E72-DEC314797DE5}">
      <formula1>"Never,Sometimes,Often"</formula1>
    </dataValidation>
    <dataValidation type="list" allowBlank="1" showInputMessage="1" showErrorMessage="1" sqref="D5" xr:uid="{219633C2-3138-49F7-AD91-1C370D935F54}">
      <formula1>"Annually,Twice per year,Less often"</formula1>
    </dataValidation>
    <dataValidation type="list" allowBlank="1" showInputMessage="1" showErrorMessage="1" sqref="D4" xr:uid="{1180443B-0685-42D7-B6F7-2FE2A3AE2283}">
      <formula1>"7–9 hrs,6–7 or 9–10 hrs,&lt;6 or &gt;10 hrs"</formula1>
    </dataValidation>
    <dataValidation type="list" allowBlank="1" showInputMessage="1" showErrorMessage="1" sqref="D3 D7 D18" xr:uid="{A83B88AB-1469-48A7-BF71-E5D17E35A798}">
      <formula1>"No,Yes"</formula1>
    </dataValidation>
    <dataValidation type="list" allowBlank="1" showInputMessage="1" showErrorMessage="1" sqref="D6" xr:uid="{936A75A1-5EE6-40F9-85E5-5AD9A8CFE503}">
      <formula1>"&lt;100 mg/dl,100-125 mg/dl,&gt;126 mg/dl"</formula1>
    </dataValidation>
    <dataValidation type="list" allowBlank="1" showInputMessage="1" showErrorMessage="1" sqref="D8" xr:uid="{889FE601-2E81-4899-AC41-15B749231E45}">
      <formula1>"&lt;5.7%,5.7-6.4%,&gt;6.5%"</formula1>
    </dataValidation>
  </dataValidations>
  <hyperlinks>
    <hyperlink ref="G1" location="ReportCard!A1" display="Go to Report Card" xr:uid="{FFEC1A3D-08AB-41C2-8E37-80D6201C478D}"/>
  </hyperlinks>
  <pageMargins left="0.75" right="0.75" top="1" bottom="1" header="0.5" footer="0.5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262B2-1CAA-4F30-A969-D3368DFFF01C}">
  <dimension ref="A1:H32"/>
  <sheetViews>
    <sheetView showGridLines="0" zoomScale="90" zoomScaleNormal="90" workbookViewId="0">
      <pane ySplit="1" topLeftCell="A2" activePane="bottomLeft" state="frozen"/>
      <selection pane="bottomLeft" activeCell="G1" sqref="G1"/>
    </sheetView>
  </sheetViews>
  <sheetFormatPr defaultColWidth="52.5546875" defaultRowHeight="15" x14ac:dyDescent="0.25"/>
  <cols>
    <col min="1" max="1" width="5.6640625" style="1" customWidth="1"/>
    <col min="2" max="2" width="33.88671875" style="1" customWidth="1"/>
    <col min="3" max="3" width="130.21875" style="2" customWidth="1"/>
    <col min="4" max="4" width="28.33203125" style="2" customWidth="1"/>
    <col min="5" max="5" width="30.88671875" style="2" customWidth="1"/>
    <col min="6" max="6" width="19" style="2" customWidth="1"/>
    <col min="7" max="7" width="31.5546875" style="2" customWidth="1"/>
    <col min="8" max="8" width="33.88671875" style="2" customWidth="1"/>
    <col min="9" max="16384" width="52.5546875" style="2"/>
  </cols>
  <sheetData>
    <row r="1" spans="1:8" ht="15.6" x14ac:dyDescent="0.3">
      <c r="A1" s="7" t="s">
        <v>0</v>
      </c>
      <c r="B1" s="7" t="s">
        <v>1</v>
      </c>
      <c r="C1" s="8" t="s">
        <v>2</v>
      </c>
      <c r="D1" s="8" t="s">
        <v>3</v>
      </c>
      <c r="E1" s="8" t="s">
        <v>4</v>
      </c>
      <c r="F1" s="1"/>
      <c r="G1" s="23" t="s">
        <v>65</v>
      </c>
      <c r="H1" s="1"/>
    </row>
    <row r="2" spans="1:8" ht="30" customHeight="1" x14ac:dyDescent="0.3">
      <c r="A2" s="9"/>
      <c r="B2" s="10" t="s">
        <v>178</v>
      </c>
      <c r="C2" s="34"/>
      <c r="D2" s="12"/>
      <c r="E2" s="12" t="s">
        <v>9</v>
      </c>
      <c r="F2" s="1"/>
      <c r="G2" s="1"/>
      <c r="H2" s="1"/>
    </row>
    <row r="3" spans="1:8" ht="19.95" customHeight="1" x14ac:dyDescent="0.25">
      <c r="A3" s="1">
        <v>1</v>
      </c>
      <c r="B3" s="2"/>
      <c r="C3" s="2" t="s">
        <v>179</v>
      </c>
      <c r="D3" s="4" t="s">
        <v>23</v>
      </c>
      <c r="E3" s="5">
        <f>IF(D3="No",75,0)</f>
        <v>75</v>
      </c>
      <c r="F3" s="1"/>
      <c r="G3" s="1"/>
      <c r="H3" s="1"/>
    </row>
    <row r="4" spans="1:8" ht="19.95" customHeight="1" x14ac:dyDescent="0.25">
      <c r="A4" s="1">
        <v>2</v>
      </c>
      <c r="C4" s="2" t="s">
        <v>204</v>
      </c>
      <c r="D4" s="4" t="s">
        <v>11</v>
      </c>
      <c r="E4" s="5">
        <f>IF(D4="yes",25,0)</f>
        <v>25</v>
      </c>
      <c r="F4" s="1"/>
      <c r="G4" s="1"/>
      <c r="H4" s="1"/>
    </row>
    <row r="5" spans="1:8" ht="30" customHeight="1" x14ac:dyDescent="0.3">
      <c r="A5" s="9"/>
      <c r="B5" s="10" t="s">
        <v>180</v>
      </c>
      <c r="C5" s="29"/>
      <c r="D5" s="13"/>
      <c r="E5" s="14" t="s">
        <v>9</v>
      </c>
    </row>
    <row r="6" spans="1:8" ht="19.95" customHeight="1" x14ac:dyDescent="0.25">
      <c r="A6" s="1">
        <v>3</v>
      </c>
      <c r="B6" s="2"/>
      <c r="C6" s="28" t="s">
        <v>181</v>
      </c>
      <c r="D6" s="4" t="s">
        <v>182</v>
      </c>
      <c r="E6" s="5">
        <f>IF(D6="Weekly or more often",50,IF(D6="Monthly",25,IF(D6="Annually",0,0)))</f>
        <v>50</v>
      </c>
    </row>
    <row r="7" spans="1:8" ht="19.95" customHeight="1" x14ac:dyDescent="0.25">
      <c r="A7" s="1">
        <v>4</v>
      </c>
      <c r="C7" s="30" t="s">
        <v>183</v>
      </c>
      <c r="D7" s="4" t="s">
        <v>11</v>
      </c>
      <c r="E7" s="5">
        <f>IF(D7="yes",25,0)</f>
        <v>25</v>
      </c>
    </row>
    <row r="8" spans="1:8" ht="19.95" customHeight="1" x14ac:dyDescent="0.25">
      <c r="A8" s="1">
        <v>5</v>
      </c>
      <c r="C8" s="30" t="s">
        <v>184</v>
      </c>
      <c r="D8" s="4" t="s">
        <v>11</v>
      </c>
      <c r="E8" s="5">
        <f>IF(D8="yes",25,0)</f>
        <v>25</v>
      </c>
    </row>
    <row r="9" spans="1:8" ht="19.95" customHeight="1" x14ac:dyDescent="0.25">
      <c r="A9" s="1">
        <v>6</v>
      </c>
      <c r="C9" s="30" t="s">
        <v>185</v>
      </c>
      <c r="D9" s="4" t="s">
        <v>11</v>
      </c>
      <c r="E9" s="5">
        <f>IF(D9="yes",25,0)</f>
        <v>25</v>
      </c>
    </row>
    <row r="10" spans="1:8" ht="19.95" customHeight="1" x14ac:dyDescent="0.25">
      <c r="A10" s="1">
        <v>7</v>
      </c>
      <c r="C10" s="30" t="s">
        <v>198</v>
      </c>
      <c r="D10" s="4" t="s">
        <v>11</v>
      </c>
      <c r="E10" s="5">
        <f>IF(D10="yes",15,0)</f>
        <v>15</v>
      </c>
    </row>
    <row r="11" spans="1:8" ht="19.95" customHeight="1" x14ac:dyDescent="0.25">
      <c r="A11" s="1">
        <v>8</v>
      </c>
      <c r="C11" s="30" t="s">
        <v>199</v>
      </c>
      <c r="D11" s="4" t="s">
        <v>11</v>
      </c>
      <c r="E11" s="5">
        <f>IF(D11="yes",15,0)</f>
        <v>15</v>
      </c>
    </row>
    <row r="12" spans="1:8" ht="19.95" customHeight="1" x14ac:dyDescent="0.25">
      <c r="A12" s="1">
        <v>9</v>
      </c>
      <c r="C12" s="30" t="s">
        <v>201</v>
      </c>
      <c r="D12" s="4" t="s">
        <v>11</v>
      </c>
      <c r="E12" s="5">
        <f>IF(D12="yes",15,0)</f>
        <v>15</v>
      </c>
    </row>
    <row r="13" spans="1:8" ht="19.95" customHeight="1" x14ac:dyDescent="0.25">
      <c r="A13" s="1">
        <v>10</v>
      </c>
      <c r="C13" s="30" t="s">
        <v>200</v>
      </c>
      <c r="D13" s="4" t="s">
        <v>11</v>
      </c>
      <c r="E13" s="5">
        <f>IF(D13="yes",15,0)</f>
        <v>15</v>
      </c>
    </row>
    <row r="14" spans="1:8" ht="30" customHeight="1" x14ac:dyDescent="0.25">
      <c r="A14" s="15"/>
      <c r="B14" s="15" t="s">
        <v>194</v>
      </c>
      <c r="C14" s="31"/>
      <c r="D14" s="13"/>
      <c r="E14" s="14" t="s">
        <v>9</v>
      </c>
    </row>
    <row r="15" spans="1:8" ht="19.95" customHeight="1" x14ac:dyDescent="0.25">
      <c r="A15" s="1">
        <v>11</v>
      </c>
      <c r="B15" s="2"/>
      <c r="C15" s="28" t="s">
        <v>196</v>
      </c>
      <c r="D15" s="4" t="s">
        <v>270</v>
      </c>
      <c r="E15" s="5">
        <f>IF(D15="&lt;120 mmHg",50,IF(D15="120-129 mmHg",35,IF(D15="130-139 mmHg",15,0)))</f>
        <v>50</v>
      </c>
    </row>
    <row r="16" spans="1:8" ht="19.95" customHeight="1" x14ac:dyDescent="0.25">
      <c r="A16" s="1">
        <v>12</v>
      </c>
      <c r="C16" s="28" t="s">
        <v>197</v>
      </c>
      <c r="D16" s="4" t="s">
        <v>269</v>
      </c>
      <c r="E16" s="5">
        <f>IF(D16="&lt;80 mmHg",50,IF(D16="80-89 mmHg",15,IF(D16="90+ mmHg",0,0)))</f>
        <v>50</v>
      </c>
    </row>
    <row r="17" spans="1:6" ht="19.95" customHeight="1" x14ac:dyDescent="0.25">
      <c r="A17" s="1">
        <v>13</v>
      </c>
      <c r="C17" s="30" t="s">
        <v>147</v>
      </c>
      <c r="D17" s="4" t="s">
        <v>152</v>
      </c>
      <c r="E17" s="5">
        <f>IF(D17="&gt;60 mg/dl",50,IF(D17="Male 40-59 mg/dl",25,IF(D17="female 50-59mg/dl",25,IF(D17="Male &lt;40mg/dl",0,IF(D17="Female &lt;50 mg/dl",0)))))</f>
        <v>50</v>
      </c>
    </row>
    <row r="18" spans="1:6" ht="30" customHeight="1" x14ac:dyDescent="0.25">
      <c r="A18" s="15"/>
      <c r="B18" s="15" t="s">
        <v>156</v>
      </c>
      <c r="C18" s="31"/>
      <c r="D18" s="13"/>
      <c r="E18" s="14" t="s">
        <v>9</v>
      </c>
    </row>
    <row r="19" spans="1:6" ht="19.95" customHeight="1" x14ac:dyDescent="0.25">
      <c r="A19" s="1">
        <v>14</v>
      </c>
      <c r="C19" s="28" t="s">
        <v>160</v>
      </c>
      <c r="D19" s="5" t="str">
        <f>+ReportCard!C5</f>
        <v>A</v>
      </c>
      <c r="E19" s="5">
        <f>IF(D19="A",50,IF(D19="B",40,IF(D19="C",0,0)))</f>
        <v>50</v>
      </c>
    </row>
    <row r="20" spans="1:6" ht="19.95" customHeight="1" x14ac:dyDescent="0.25">
      <c r="A20" s="1">
        <v>15</v>
      </c>
      <c r="C20" s="30" t="s">
        <v>189</v>
      </c>
      <c r="D20" s="5" t="str">
        <f>+ReportCard!C6</f>
        <v>A</v>
      </c>
      <c r="E20" s="5">
        <f>IF(D20="A",50,IF(D20="B",40,IF(D20="C",0,0)))</f>
        <v>50</v>
      </c>
    </row>
    <row r="21" spans="1:6" ht="19.95" customHeight="1" x14ac:dyDescent="0.25">
      <c r="A21" s="1">
        <v>16</v>
      </c>
      <c r="C21" s="30" t="s">
        <v>190</v>
      </c>
      <c r="D21" s="5" t="str">
        <f>+ReportCard!C10</f>
        <v>A</v>
      </c>
      <c r="E21" s="5">
        <f>IF(D21="A",50,IF(D21="B",40,IF(D21="C",0,0)))</f>
        <v>50</v>
      </c>
    </row>
    <row r="22" spans="1:6" ht="19.95" customHeight="1" x14ac:dyDescent="0.25">
      <c r="A22" s="1">
        <v>17</v>
      </c>
      <c r="C22" s="30" t="s">
        <v>191</v>
      </c>
      <c r="D22" s="5" t="str">
        <f>+ReportCard!C11</f>
        <v>A</v>
      </c>
      <c r="E22" s="5">
        <f>IF(D22="A",50,IF(D22="B",40,IF(D22="C",0,0)))</f>
        <v>50</v>
      </c>
    </row>
    <row r="23" spans="1:6" ht="19.95" customHeight="1" x14ac:dyDescent="0.25">
      <c r="A23" s="1">
        <v>18</v>
      </c>
      <c r="C23" s="30" t="s">
        <v>188</v>
      </c>
      <c r="D23" s="5" t="str">
        <f>+ReportCard!C4</f>
        <v>A</v>
      </c>
      <c r="E23" s="5">
        <f>IF(D23="A",50,IF(D23="B",40,IF(D23="C",0,0)))</f>
        <v>50</v>
      </c>
    </row>
    <row r="24" spans="1:6" ht="19.95" customHeight="1" x14ac:dyDescent="0.25">
      <c r="C24" s="28"/>
      <c r="E24" s="2" t="s">
        <v>9</v>
      </c>
    </row>
    <row r="25" spans="1:6" ht="30" customHeight="1" x14ac:dyDescent="0.3">
      <c r="A25" s="9"/>
      <c r="B25" s="9"/>
      <c r="C25" s="16"/>
      <c r="D25" s="19" t="s">
        <v>203</v>
      </c>
      <c r="E25" s="20">
        <f>SUM(E2:E23)</f>
        <v>685</v>
      </c>
    </row>
    <row r="26" spans="1:6" ht="30" customHeight="1" x14ac:dyDescent="0.25">
      <c r="A26" s="9"/>
      <c r="B26" s="9"/>
      <c r="C26" s="16"/>
      <c r="D26" s="21" t="s">
        <v>52</v>
      </c>
      <c r="E26" s="22" t="str">
        <f>IF(E25&gt;=607,"A",IF(E25&gt;=540,"B",IF(E25&gt;=405,"C",IF(E25&lt;=270,"D"," Poor Blood Pressure Factor Score"))))</f>
        <v>A</v>
      </c>
    </row>
    <row r="28" spans="1:6" x14ac:dyDescent="0.25">
      <c r="F28" s="6"/>
    </row>
    <row r="29" spans="1:6" x14ac:dyDescent="0.25">
      <c r="D29" s="6"/>
      <c r="F29" s="6"/>
    </row>
    <row r="30" spans="1:6" x14ac:dyDescent="0.25">
      <c r="D30" s="6"/>
      <c r="E30" s="36"/>
      <c r="F30" s="6"/>
    </row>
    <row r="31" spans="1:6" x14ac:dyDescent="0.25">
      <c r="D31" s="6"/>
      <c r="F31" s="6"/>
    </row>
    <row r="32" spans="1:6" x14ac:dyDescent="0.25">
      <c r="D32" s="6"/>
    </row>
  </sheetData>
  <sheetProtection sheet="1" objects="1" scenarios="1"/>
  <conditionalFormatting sqref="E2:E26">
    <cfRule type="cellIs" dxfId="5" priority="3" operator="equal">
      <formula>0</formula>
    </cfRule>
  </conditionalFormatting>
  <conditionalFormatting sqref="E3:E23">
    <cfRule type="cellIs" dxfId="4" priority="4" operator="equal">
      <formula>0</formula>
    </cfRule>
  </conditionalFormatting>
  <dataValidations count="8">
    <dataValidation type="list" allowBlank="1" showInputMessage="1" showErrorMessage="1" sqref="D7:D13 D3:D4" xr:uid="{FBFFB07E-48E5-4C82-8E8D-6EFA655EA88B}">
      <formula1>"No,Yes"</formula1>
    </dataValidation>
    <dataValidation type="list" allowBlank="1" showInputMessage="1" showErrorMessage="1" sqref="D6" xr:uid="{BE51A876-5830-44AF-97B9-267CC84A981C}">
      <formula1>"Weekly or more often,monthly,annually"</formula1>
    </dataValidation>
    <dataValidation type="list" allowBlank="1" showInputMessage="1" showErrorMessage="1" sqref="D18 D14" xr:uid="{B2967343-0535-42EA-87E8-FF377FF1C808}">
      <formula1>"Never,Sometimes,Often"</formula1>
    </dataValidation>
    <dataValidation type="list" allowBlank="1" showInputMessage="1" showErrorMessage="1" sqref="D24" xr:uid="{CFD914D1-FE24-4723-AA2D-550888B4765F}">
      <formula1>"Good,Fair,Poor"</formula1>
    </dataValidation>
    <dataValidation type="list" allowBlank="1" showInputMessage="1" showErrorMessage="1" sqref="D17" xr:uid="{08F60EE3-30A6-4199-BC34-50BDC6917B9B}">
      <formula1>"&gt;60 mg/dl,Male 40-59 mg/dl,Female 50-59mg/dl,Male &lt;40mg/dl,Female &lt;50 mg/dl"</formula1>
    </dataValidation>
    <dataValidation type="list" allowBlank="1" showInputMessage="1" showErrorMessage="1" sqref="D16" xr:uid="{F53C9325-78DE-4B95-B534-CE5A7B4FDFA1}">
      <formula1>"&lt;80 mmHg,80-89 mmHg,90+ mmHg"</formula1>
    </dataValidation>
    <dataValidation type="list" allowBlank="1" showInputMessage="1" showErrorMessage="1" sqref="D15" xr:uid="{14C4466A-4BE0-4C83-B32F-B35B7099EBFB}">
      <formula1>"&lt;120 mmHg,120-129 mmHg,130-139 mmHg,140+ mmHg"</formula1>
    </dataValidation>
    <dataValidation type="list" allowBlank="1" showInputMessage="1" showErrorMessage="1" sqref="D5" xr:uid="{AF1E4DDE-838F-4F64-B3C8-EB9FB896CE99}">
      <formula1>"7–9 hrs,6–7 or 9–10 hrs,&lt;6 or &gt;10 hrs"</formula1>
    </dataValidation>
  </dataValidations>
  <hyperlinks>
    <hyperlink ref="G1" location="ReportCard!A1" display="Go to Report Card" xr:uid="{49D77057-1DDF-491E-B77D-DC19DA6A631D}"/>
  </hyperlinks>
  <pageMargins left="0.75" right="0.75" top="1" bottom="1" header="0.5" footer="0.5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6B5FE-291E-4C6F-BB81-ABD466AD7208}">
  <dimension ref="A1:H37"/>
  <sheetViews>
    <sheetView showGridLines="0" zoomScale="70" zoomScaleNormal="70" workbookViewId="0">
      <pane ySplit="1" topLeftCell="A14" activePane="bottomLeft" state="frozen"/>
      <selection pane="bottomLeft" activeCell="D24" sqref="D24"/>
    </sheetView>
  </sheetViews>
  <sheetFormatPr defaultColWidth="52.5546875" defaultRowHeight="15" x14ac:dyDescent="0.25"/>
  <cols>
    <col min="1" max="1" width="5.6640625" style="1" customWidth="1"/>
    <col min="2" max="2" width="37.6640625" style="1" customWidth="1"/>
    <col min="3" max="3" width="85.5546875" style="2" customWidth="1"/>
    <col min="4" max="4" width="33.88671875" style="2" bestFit="1" customWidth="1"/>
    <col min="5" max="5" width="34.88671875" style="2" bestFit="1" customWidth="1"/>
    <col min="6" max="6" width="10.77734375" style="2" customWidth="1"/>
    <col min="7" max="7" width="35.44140625" style="2" customWidth="1"/>
    <col min="8" max="8" width="20.77734375" style="2" bestFit="1" customWidth="1"/>
    <col min="9" max="16384" width="52.5546875" style="2"/>
  </cols>
  <sheetData>
    <row r="1" spans="1:8" ht="15.6" x14ac:dyDescent="0.3">
      <c r="A1" s="7" t="s">
        <v>0</v>
      </c>
      <c r="B1" s="7" t="s">
        <v>205</v>
      </c>
      <c r="C1" s="8" t="s">
        <v>2</v>
      </c>
      <c r="D1" s="8" t="s">
        <v>3</v>
      </c>
      <c r="E1" s="8" t="s">
        <v>4</v>
      </c>
      <c r="F1" s="1"/>
      <c r="G1" s="23" t="s">
        <v>65</v>
      </c>
      <c r="H1" s="1"/>
    </row>
    <row r="2" spans="1:8" ht="30" customHeight="1" x14ac:dyDescent="0.3">
      <c r="A2" s="9"/>
      <c r="B2" s="10" t="s">
        <v>206</v>
      </c>
      <c r="C2" s="34"/>
      <c r="D2" s="12"/>
      <c r="E2" s="12" t="s">
        <v>9</v>
      </c>
      <c r="F2" s="1"/>
      <c r="G2" s="1"/>
      <c r="H2" s="1"/>
    </row>
    <row r="3" spans="1:8" ht="19.95" customHeight="1" x14ac:dyDescent="0.25">
      <c r="A3" s="1">
        <v>1</v>
      </c>
      <c r="B3" s="2"/>
      <c r="C3" s="28" t="s">
        <v>207</v>
      </c>
      <c r="D3" s="4" t="s">
        <v>11</v>
      </c>
      <c r="E3" s="5">
        <f>IF(D3="yes",50,0)</f>
        <v>50</v>
      </c>
    </row>
    <row r="4" spans="1:8" ht="19.95" customHeight="1" x14ac:dyDescent="0.25">
      <c r="A4" s="1">
        <v>2</v>
      </c>
      <c r="C4" s="28" t="s">
        <v>293</v>
      </c>
      <c r="D4" s="4" t="s">
        <v>11</v>
      </c>
      <c r="E4" s="5">
        <f>IF(D4="yes",30,0)</f>
        <v>30</v>
      </c>
    </row>
    <row r="5" spans="1:8" ht="19.95" customHeight="1" x14ac:dyDescent="0.25">
      <c r="A5" s="1">
        <v>3</v>
      </c>
      <c r="C5" s="28" t="s">
        <v>263</v>
      </c>
      <c r="D5" s="4" t="s">
        <v>11</v>
      </c>
      <c r="E5" s="5">
        <f>IF(D5="yes",25,0)</f>
        <v>25</v>
      </c>
    </row>
    <row r="6" spans="1:8" ht="19.95" customHeight="1" x14ac:dyDescent="0.25">
      <c r="A6" s="1">
        <v>4</v>
      </c>
      <c r="C6" s="28" t="s">
        <v>210</v>
      </c>
      <c r="D6" s="4" t="s">
        <v>11</v>
      </c>
      <c r="E6" s="5">
        <f>IF(D6="yes",20,0)</f>
        <v>20</v>
      </c>
    </row>
    <row r="7" spans="1:8" ht="19.95" customHeight="1" x14ac:dyDescent="0.25">
      <c r="A7" s="1">
        <v>5</v>
      </c>
      <c r="C7" s="28" t="s">
        <v>208</v>
      </c>
      <c r="D7" s="4" t="s">
        <v>11</v>
      </c>
      <c r="E7" s="5">
        <f>IF(D7="yes",15,0)</f>
        <v>15</v>
      </c>
    </row>
    <row r="8" spans="1:8" ht="19.95" customHeight="1" x14ac:dyDescent="0.25">
      <c r="A8" s="1">
        <v>6</v>
      </c>
      <c r="C8" s="28" t="s">
        <v>209</v>
      </c>
      <c r="D8" s="4" t="s">
        <v>11</v>
      </c>
      <c r="E8" s="5">
        <f>IF(D8="yes",5,0)</f>
        <v>5</v>
      </c>
    </row>
    <row r="9" spans="1:8" ht="30" customHeight="1" x14ac:dyDescent="0.3">
      <c r="A9" s="9"/>
      <c r="B9" s="10" t="s">
        <v>211</v>
      </c>
      <c r="C9" s="29"/>
      <c r="D9" s="13"/>
      <c r="E9" s="14" t="s">
        <v>9</v>
      </c>
    </row>
    <row r="10" spans="1:8" ht="19.95" customHeight="1" x14ac:dyDescent="0.25">
      <c r="A10" s="1">
        <v>7</v>
      </c>
      <c r="C10" s="30" t="s">
        <v>215</v>
      </c>
      <c r="D10" s="4" t="s">
        <v>264</v>
      </c>
      <c r="E10" s="5">
        <f>IF(D10="Easy",50,IF(D10="Moderate",0,0))</f>
        <v>50</v>
      </c>
    </row>
    <row r="11" spans="1:8" ht="19.95" customHeight="1" x14ac:dyDescent="0.25">
      <c r="A11" s="1">
        <v>8</v>
      </c>
      <c r="C11" s="30" t="s">
        <v>221</v>
      </c>
      <c r="D11" s="4" t="s">
        <v>264</v>
      </c>
      <c r="E11" s="5">
        <f>IF(D11="Easy",50,IF(D11="Moderate",0,0))</f>
        <v>50</v>
      </c>
    </row>
    <row r="12" spans="1:8" ht="19.95" customHeight="1" x14ac:dyDescent="0.25">
      <c r="A12" s="1">
        <v>9</v>
      </c>
      <c r="C12" s="30" t="s">
        <v>217</v>
      </c>
      <c r="D12" s="4" t="s">
        <v>12</v>
      </c>
      <c r="E12" s="5">
        <f>IF(D12="Never",50,IF(D12="Sometimes",25,0))</f>
        <v>50</v>
      </c>
    </row>
    <row r="13" spans="1:8" ht="19.95" customHeight="1" x14ac:dyDescent="0.25">
      <c r="A13" s="1">
        <v>10</v>
      </c>
      <c r="C13" s="30" t="s">
        <v>218</v>
      </c>
      <c r="D13" s="4" t="s">
        <v>23</v>
      </c>
      <c r="E13" s="5">
        <f>IF(D13="No",25,0)</f>
        <v>25</v>
      </c>
    </row>
    <row r="14" spans="1:8" ht="19.95" customHeight="1" x14ac:dyDescent="0.25">
      <c r="A14" s="1">
        <v>11</v>
      </c>
      <c r="C14" s="30" t="s">
        <v>219</v>
      </c>
      <c r="D14" s="4" t="s">
        <v>23</v>
      </c>
      <c r="E14" s="5">
        <f>IF(D14="No",25,0)</f>
        <v>25</v>
      </c>
    </row>
    <row r="15" spans="1:8" ht="19.95" customHeight="1" x14ac:dyDescent="0.25">
      <c r="A15" s="1">
        <v>12</v>
      </c>
      <c r="C15" s="30" t="s">
        <v>220</v>
      </c>
      <c r="D15" s="4" t="s">
        <v>23</v>
      </c>
      <c r="E15" s="5">
        <f>IF(D15="No",50,0)</f>
        <v>50</v>
      </c>
    </row>
    <row r="16" spans="1:8" ht="19.95" customHeight="1" x14ac:dyDescent="0.25">
      <c r="A16" s="1">
        <v>13</v>
      </c>
      <c r="C16" s="30" t="s">
        <v>294</v>
      </c>
      <c r="D16" s="4" t="s">
        <v>12</v>
      </c>
      <c r="E16" s="5">
        <f t="shared" ref="E16" si="0">IF(D16="Never",50,IF(D16="Sometimes",25,0))</f>
        <v>50</v>
      </c>
    </row>
    <row r="17" spans="1:8" ht="19.95" customHeight="1" x14ac:dyDescent="0.25">
      <c r="A17" s="1">
        <v>14</v>
      </c>
      <c r="C17" s="30" t="s">
        <v>266</v>
      </c>
      <c r="D17" s="4" t="s">
        <v>23</v>
      </c>
      <c r="E17" s="5">
        <f>IF(D17="No",25,0)</f>
        <v>25</v>
      </c>
    </row>
    <row r="18" spans="1:8" ht="19.95" customHeight="1" x14ac:dyDescent="0.25">
      <c r="A18" s="1">
        <v>15</v>
      </c>
      <c r="C18" s="30" t="s">
        <v>222</v>
      </c>
      <c r="D18" s="4" t="s">
        <v>12</v>
      </c>
      <c r="E18" s="5">
        <f>IF(D18="Often",0,IF(D18="Sometimes",15,25))</f>
        <v>25</v>
      </c>
    </row>
    <row r="19" spans="1:8" ht="30" customHeight="1" x14ac:dyDescent="0.25">
      <c r="A19" s="9"/>
      <c r="B19" s="15" t="s">
        <v>212</v>
      </c>
      <c r="C19" s="31"/>
      <c r="D19" s="13"/>
      <c r="E19" s="14" t="s">
        <v>9</v>
      </c>
    </row>
    <row r="20" spans="1:8" ht="19.95" customHeight="1" x14ac:dyDescent="0.25">
      <c r="A20" s="1">
        <v>16</v>
      </c>
      <c r="B20" s="2"/>
      <c r="C20" s="28" t="s">
        <v>213</v>
      </c>
      <c r="D20" s="4" t="s">
        <v>267</v>
      </c>
      <c r="E20" s="5">
        <f>IF(D20="&lt;2%",150,IF(D20="3-5%",25,0))</f>
        <v>150</v>
      </c>
    </row>
    <row r="21" spans="1:8" ht="19.95" customHeight="1" x14ac:dyDescent="0.25">
      <c r="A21" s="1">
        <v>17</v>
      </c>
      <c r="C21" s="30" t="s">
        <v>214</v>
      </c>
      <c r="D21" s="42" t="s">
        <v>268</v>
      </c>
      <c r="E21" s="5">
        <f>IF(D21="&lt;1%",150,IF(D21="1-2%",50,0))</f>
        <v>150</v>
      </c>
    </row>
    <row r="22" spans="1:8" ht="19.95" customHeight="1" x14ac:dyDescent="0.25">
      <c r="A22" s="1">
        <v>18</v>
      </c>
      <c r="C22" s="30" t="s">
        <v>216</v>
      </c>
      <c r="D22" s="4" t="s">
        <v>11</v>
      </c>
      <c r="E22" s="5">
        <f>IF(D22="yes",50,0)</f>
        <v>50</v>
      </c>
    </row>
    <row r="23" spans="1:8" ht="30" customHeight="1" x14ac:dyDescent="0.25">
      <c r="A23" s="15"/>
      <c r="B23" s="15" t="s">
        <v>156</v>
      </c>
      <c r="C23" s="31"/>
      <c r="D23" s="13"/>
      <c r="E23" s="14" t="s">
        <v>9</v>
      </c>
      <c r="G23" s="40" t="s">
        <v>2</v>
      </c>
      <c r="H23" s="3" t="s">
        <v>239</v>
      </c>
    </row>
    <row r="24" spans="1:8" ht="19.95" customHeight="1" x14ac:dyDescent="0.25">
      <c r="A24" s="1">
        <v>19</v>
      </c>
      <c r="C24" s="39" t="s">
        <v>232</v>
      </c>
      <c r="D24" s="41" t="s">
        <v>231</v>
      </c>
      <c r="E24" s="5">
        <f>IF(D24="A",50,IF(D24="B",40,IF(D24="C",0,0)))</f>
        <v>50</v>
      </c>
      <c r="G24" s="40" t="s">
        <v>224</v>
      </c>
      <c r="H24" s="2" t="str">
        <f>+ReportCard!C4</f>
        <v>A</v>
      </c>
    </row>
    <row r="25" spans="1:8" ht="19.95" customHeight="1" x14ac:dyDescent="0.25">
      <c r="A25" s="1">
        <v>20</v>
      </c>
      <c r="C25" s="28" t="s">
        <v>234</v>
      </c>
      <c r="D25" s="41" t="s">
        <v>231</v>
      </c>
      <c r="E25" s="5">
        <f>IF(D25="A",50,IF(D25="B",40,IF(D25="C",0,0)))</f>
        <v>50</v>
      </c>
      <c r="G25" s="40" t="s">
        <v>225</v>
      </c>
      <c r="H25" s="2" t="str">
        <f>+ReportCard!C5</f>
        <v>A</v>
      </c>
    </row>
    <row r="26" spans="1:8" ht="19.95" customHeight="1" x14ac:dyDescent="0.25">
      <c r="A26" s="1">
        <v>21</v>
      </c>
      <c r="C26" s="30" t="s">
        <v>233</v>
      </c>
      <c r="D26" s="4" t="s">
        <v>231</v>
      </c>
      <c r="E26" s="5">
        <f>IF(D26="A",50,IF(D26="B",40,IF(D26="C",0,0)))</f>
        <v>50</v>
      </c>
      <c r="G26" s="40" t="s">
        <v>226</v>
      </c>
      <c r="H26" s="2" t="str">
        <f>+ReportCard!C6</f>
        <v>A</v>
      </c>
    </row>
    <row r="27" spans="1:8" ht="19.95" customHeight="1" x14ac:dyDescent="0.25">
      <c r="A27" s="1">
        <v>22</v>
      </c>
      <c r="C27" s="30" t="s">
        <v>235</v>
      </c>
      <c r="D27" s="4" t="s">
        <v>231</v>
      </c>
      <c r="E27" s="5">
        <f>IF(D27="A",50,IF(D27="B",40,IF(D27="C",0,0)))</f>
        <v>50</v>
      </c>
      <c r="G27" s="40" t="s">
        <v>227</v>
      </c>
      <c r="H27" s="2" t="str">
        <f>+ReportCard!C7</f>
        <v>A</v>
      </c>
    </row>
    <row r="28" spans="1:8" ht="19.95" customHeight="1" x14ac:dyDescent="0.25">
      <c r="A28" s="1">
        <v>23</v>
      </c>
      <c r="C28" s="30" t="s">
        <v>236</v>
      </c>
      <c r="D28" s="4" t="s">
        <v>231</v>
      </c>
      <c r="E28" s="5">
        <f>IF(D28="A",50,IF(D28="B",40,IF(D28="C",0,0)))</f>
        <v>50</v>
      </c>
      <c r="G28" s="40" t="s">
        <v>228</v>
      </c>
      <c r="H28" s="2" t="str">
        <f>+ReportCard!C8</f>
        <v>A</v>
      </c>
    </row>
    <row r="29" spans="1:8" ht="19.95" customHeight="1" x14ac:dyDescent="0.25">
      <c r="A29" s="1">
        <v>24</v>
      </c>
      <c r="C29" s="30" t="s">
        <v>237</v>
      </c>
      <c r="D29" s="4" t="s">
        <v>231</v>
      </c>
      <c r="E29" s="5">
        <f t="shared" ref="E29:E30" si="1">IF(D29="A",50,IF(D29="B",40,IF(D29="C",0,0)))</f>
        <v>50</v>
      </c>
      <c r="G29" s="40" t="s">
        <v>230</v>
      </c>
      <c r="H29" s="2" t="str">
        <f>+ReportCard!C9</f>
        <v>A</v>
      </c>
    </row>
    <row r="30" spans="1:8" ht="19.95" customHeight="1" x14ac:dyDescent="0.25">
      <c r="A30" s="1">
        <v>25</v>
      </c>
      <c r="C30" s="30" t="s">
        <v>238</v>
      </c>
      <c r="D30" s="4" t="s">
        <v>231</v>
      </c>
      <c r="E30" s="5">
        <f t="shared" si="1"/>
        <v>50</v>
      </c>
      <c r="G30" s="40" t="s">
        <v>229</v>
      </c>
      <c r="H30" s="2" t="str">
        <f>+ReportCard!C11</f>
        <v>A</v>
      </c>
    </row>
    <row r="31" spans="1:8" ht="17.399999999999999" x14ac:dyDescent="0.3">
      <c r="A31" s="9"/>
      <c r="B31" s="9"/>
      <c r="C31" s="16"/>
      <c r="D31" s="19" t="s">
        <v>223</v>
      </c>
      <c r="E31" s="20">
        <f>SUM(E3:E30)</f>
        <v>1195</v>
      </c>
    </row>
    <row r="32" spans="1:8" ht="17.399999999999999" x14ac:dyDescent="0.25">
      <c r="A32" s="9"/>
      <c r="B32" s="9"/>
      <c r="C32" s="16"/>
      <c r="D32" s="21" t="s">
        <v>52</v>
      </c>
      <c r="E32" s="22" t="str">
        <f>IF(E31&gt;=1093,"A",IF(E31&gt;=976,"B",IF(E31&gt;=732,"C",IF(E31&lt;=488,"D"," Poor Sleep Health"))))</f>
        <v>A</v>
      </c>
    </row>
    <row r="34" spans="4:6" x14ac:dyDescent="0.25">
      <c r="D34" s="6"/>
      <c r="F34" s="6"/>
    </row>
    <row r="35" spans="4:6" x14ac:dyDescent="0.25">
      <c r="D35" s="6"/>
      <c r="F35" s="6"/>
    </row>
    <row r="36" spans="4:6" x14ac:dyDescent="0.25">
      <c r="D36" s="6"/>
      <c r="F36" s="6"/>
    </row>
    <row r="37" spans="4:6" x14ac:dyDescent="0.25">
      <c r="D37" s="6"/>
      <c r="F37" s="6"/>
    </row>
  </sheetData>
  <sheetProtection sheet="1" objects="1" scenarios="1"/>
  <conditionalFormatting sqref="E2:E32">
    <cfRule type="cellIs" dxfId="3" priority="3" operator="equal">
      <formula>0</formula>
    </cfRule>
  </conditionalFormatting>
  <conditionalFormatting sqref="E3:E30">
    <cfRule type="cellIs" dxfId="2" priority="4" operator="equal">
      <formula>0</formula>
    </cfRule>
  </conditionalFormatting>
  <dataValidations count="13">
    <dataValidation type="list" allowBlank="1" showInputMessage="1" showErrorMessage="1" sqref="D23 D12 D16 D18:D19" xr:uid="{4A404C03-833D-4CD3-ACF9-A6F789D679CB}">
      <formula1>"Never,Sometimes,Often"</formula1>
    </dataValidation>
    <dataValidation type="list" allowBlank="1" showInputMessage="1" showErrorMessage="1" sqref="D9" xr:uid="{7E1C774F-F901-46C8-8136-2C3DCEE37E90}">
      <formula1>"7–9 hrs,6–7 or 9–10 hrs,&lt;6 or &gt;10 hrs"</formula1>
    </dataValidation>
    <dataValidation type="list" allowBlank="1" showInputMessage="1" showErrorMessage="1" sqref="D3:D8 D22 D13:D15 D17" xr:uid="{A19E64E3-37F4-45B8-B9AF-30144EF81104}">
      <formula1>"No,Yes"</formula1>
    </dataValidation>
    <dataValidation type="list" allowBlank="1" showInputMessage="1" showErrorMessage="1" prompt="Enter your grade from H25" sqref="D24" xr:uid="{3CFF5966-29F4-454A-976C-CB1CAA7B1951}">
      <formula1>"A,B,C,D"</formula1>
    </dataValidation>
    <dataValidation type="list" allowBlank="1" showInputMessage="1" showErrorMessage="1" prompt="Enter your grade from H26" sqref="D25" xr:uid="{9131306D-F72F-41C5-9002-FA2302E01FED}">
      <formula1>"A,B,C,D"</formula1>
    </dataValidation>
    <dataValidation type="list" allowBlank="1" showInputMessage="1" showErrorMessage="1" prompt="Enter our grade from H27_x000a_" sqref="D26" xr:uid="{A29BAC87-8A54-461A-9648-07B46914C1A4}">
      <formula1>"A,B,C,D"</formula1>
    </dataValidation>
    <dataValidation type="list" allowBlank="1" showInputMessage="1" showErrorMessage="1" prompt="Enter your grade from H28" sqref="D27" xr:uid="{52FC5A19-5053-4C11-968C-1EF3CB95CB0E}">
      <formula1>"A,B,C,D"</formula1>
    </dataValidation>
    <dataValidation type="list" allowBlank="1" showInputMessage="1" showErrorMessage="1" prompt="Enter your grade from H29" sqref="D28" xr:uid="{E2DE3823-B538-4A11-B359-91FD216C63C2}">
      <formula1>"A,B,C,D"</formula1>
    </dataValidation>
    <dataValidation type="list" allowBlank="1" showInputMessage="1" showErrorMessage="1" prompt="Enter your grade from H30" sqref="D29" xr:uid="{0ECF4D8D-932C-42AF-A6EA-066FC5BFD474}">
      <formula1>"A,B,C,D"</formula1>
    </dataValidation>
    <dataValidation type="list" allowBlank="1" showInputMessage="1" showErrorMessage="1" prompt="Enter your grade from H31" sqref="D30" xr:uid="{1C576C4C-0434-4C5C-812F-802A52538791}">
      <formula1>"A,B,C,D"</formula1>
    </dataValidation>
    <dataValidation type="list" allowBlank="1" showInputMessage="1" showErrorMessage="1" sqref="D10:D11" xr:uid="{E2207BCF-4C08-4DED-8496-A02297056EC0}">
      <formula1>"Easy,Moderate,Difficult"</formula1>
    </dataValidation>
    <dataValidation type="list" allowBlank="1" showInputMessage="1" showErrorMessage="1" sqref="D20" xr:uid="{36EE5B07-2A74-4004-ADB6-3F0F8A7189D2}">
      <formula1>"&lt;2%,3-5%,&gt;6%"</formula1>
    </dataValidation>
    <dataValidation type="list" allowBlank="1" showInputMessage="1" showErrorMessage="1" sqref="D21" xr:uid="{C3F815DE-E2D9-47C4-94B3-0BAC59D38C02}">
      <formula1>"&lt;1%,1-2%,&gt;3%"</formula1>
    </dataValidation>
  </dataValidations>
  <hyperlinks>
    <hyperlink ref="G1" location="ReportCard!A1" display="Go to Report Card" xr:uid="{678EC0E5-C493-446F-B407-120A70628799}"/>
  </hyperlinks>
  <pageMargins left="0.75" right="0.75" top="1" bottom="1" header="0.5" footer="0.5"/>
  <tableParts count="2">
    <tablePart r:id="rId1"/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E8F89-571F-461B-BF6E-605F935D2502}">
  <dimension ref="A1:H33"/>
  <sheetViews>
    <sheetView showGridLines="0" zoomScaleNormal="100" workbookViewId="0">
      <pane ySplit="1" topLeftCell="A3" activePane="bottomLeft" state="frozen"/>
      <selection pane="bottomLeft" activeCell="G1" sqref="G1"/>
    </sheetView>
  </sheetViews>
  <sheetFormatPr defaultColWidth="52.5546875" defaultRowHeight="15" x14ac:dyDescent="0.25"/>
  <cols>
    <col min="1" max="1" width="5.6640625" style="1" customWidth="1"/>
    <col min="2" max="2" width="37.6640625" style="1" customWidth="1"/>
    <col min="3" max="3" width="85.5546875" style="2" customWidth="1"/>
    <col min="4" max="4" width="33.88671875" style="2" bestFit="1" customWidth="1"/>
    <col min="5" max="5" width="34.88671875" style="2" bestFit="1" customWidth="1"/>
    <col min="6" max="6" width="10.77734375" style="2" customWidth="1"/>
    <col min="7" max="7" width="35.44140625" style="2" customWidth="1"/>
    <col min="8" max="8" width="20.77734375" style="2" bestFit="1" customWidth="1"/>
    <col min="9" max="16384" width="52.5546875" style="2"/>
  </cols>
  <sheetData>
    <row r="1" spans="1:8" ht="15.6" x14ac:dyDescent="0.3">
      <c r="A1" s="7" t="s">
        <v>0</v>
      </c>
      <c r="B1" s="7" t="s">
        <v>240</v>
      </c>
      <c r="C1" s="8" t="s">
        <v>2</v>
      </c>
      <c r="D1" s="8" t="s">
        <v>3</v>
      </c>
      <c r="E1" s="8" t="s">
        <v>4</v>
      </c>
      <c r="F1" s="1"/>
      <c r="G1" s="23" t="s">
        <v>65</v>
      </c>
      <c r="H1" s="1"/>
    </row>
    <row r="2" spans="1:8" ht="30" customHeight="1" x14ac:dyDescent="0.3">
      <c r="A2" s="9"/>
      <c r="B2" s="10" t="s">
        <v>241</v>
      </c>
      <c r="C2" s="34"/>
      <c r="D2" s="12"/>
      <c r="E2" s="12" t="s">
        <v>9</v>
      </c>
      <c r="F2" s="1"/>
      <c r="G2" s="1"/>
      <c r="H2" s="1"/>
    </row>
    <row r="3" spans="1:8" ht="19.95" customHeight="1" x14ac:dyDescent="0.25">
      <c r="A3" s="1">
        <v>1</v>
      </c>
      <c r="B3" s="2"/>
      <c r="C3" s="28" t="s">
        <v>242</v>
      </c>
      <c r="D3" s="4" t="s">
        <v>23</v>
      </c>
      <c r="E3" s="5">
        <f>IF(D3="No",100,0)</f>
        <v>100</v>
      </c>
    </row>
    <row r="4" spans="1:8" ht="19.95" customHeight="1" x14ac:dyDescent="0.25">
      <c r="A4" s="1">
        <v>2</v>
      </c>
      <c r="C4" s="28" t="s">
        <v>243</v>
      </c>
      <c r="D4" s="4" t="s">
        <v>23</v>
      </c>
      <c r="E4" s="5">
        <f>IF(D4="No",100,0)</f>
        <v>100</v>
      </c>
    </row>
    <row r="5" spans="1:8" ht="19.95" customHeight="1" x14ac:dyDescent="0.25">
      <c r="A5" s="1">
        <v>3</v>
      </c>
      <c r="C5" s="28" t="s">
        <v>244</v>
      </c>
      <c r="D5" s="4" t="s">
        <v>23</v>
      </c>
      <c r="E5" s="5">
        <f>IF(D5="no",25,0)</f>
        <v>25</v>
      </c>
    </row>
    <row r="6" spans="1:8" ht="19.95" customHeight="1" x14ac:dyDescent="0.25">
      <c r="A6" s="1">
        <v>4</v>
      </c>
      <c r="C6" s="28" t="s">
        <v>245</v>
      </c>
      <c r="D6" s="4" t="s">
        <v>12</v>
      </c>
      <c r="E6" s="5">
        <f>IF(D6="Never",50,IF(D6="Sometimes",15,0))</f>
        <v>50</v>
      </c>
    </row>
    <row r="7" spans="1:8" ht="30" customHeight="1" x14ac:dyDescent="0.3">
      <c r="A7" s="9"/>
      <c r="B7" s="10" t="s">
        <v>246</v>
      </c>
      <c r="C7" s="29"/>
      <c r="D7" s="13"/>
      <c r="E7" s="14" t="s">
        <v>9</v>
      </c>
    </row>
    <row r="8" spans="1:8" ht="19.95" customHeight="1" x14ac:dyDescent="0.25">
      <c r="A8" s="1">
        <v>5</v>
      </c>
      <c r="C8" s="30" t="s">
        <v>247</v>
      </c>
      <c r="D8" s="4" t="s">
        <v>23</v>
      </c>
      <c r="E8" s="5">
        <f>IF(D8="No",1,0)</f>
        <v>1</v>
      </c>
    </row>
    <row r="9" spans="1:8" ht="19.95" customHeight="1" x14ac:dyDescent="0.25">
      <c r="A9" s="1">
        <v>6</v>
      </c>
      <c r="C9" s="30" t="s">
        <v>248</v>
      </c>
      <c r="D9" s="4" t="s">
        <v>249</v>
      </c>
      <c r="E9" s="5">
        <f>IF(D9="I don’t vape or smoke",100,IF(D9="1 pack – 2 ml",0,-25))</f>
        <v>100</v>
      </c>
    </row>
    <row r="10" spans="1:8" ht="19.95" customHeight="1" x14ac:dyDescent="0.25">
      <c r="A10" s="1">
        <v>7</v>
      </c>
      <c r="C10" s="30" t="s">
        <v>302</v>
      </c>
      <c r="D10" s="4" t="s">
        <v>301</v>
      </c>
      <c r="E10" s="5">
        <f>IF(D10="I don't smoke",10,IF(D10="2 or more hours",5,IF(D10="&lt;1 hour",-25,-50)))</f>
        <v>10</v>
      </c>
    </row>
    <row r="11" spans="1:8" ht="19.95" customHeight="1" x14ac:dyDescent="0.25">
      <c r="A11" s="1">
        <v>8</v>
      </c>
      <c r="C11" s="30" t="s">
        <v>250</v>
      </c>
      <c r="D11" s="4" t="s">
        <v>301</v>
      </c>
      <c r="E11" s="5">
        <f>IF(D11="I don't smoke",10,IF(D11="6+hours",5,IF(D11="4-5hours",0,IF(D11="2-3 hours",-25,IF(D11="&lt;1 hour",-50,0)))))</f>
        <v>10</v>
      </c>
    </row>
    <row r="12" spans="1:8" ht="30" customHeight="1" x14ac:dyDescent="0.25">
      <c r="A12" s="9"/>
      <c r="B12" s="15" t="s">
        <v>296</v>
      </c>
      <c r="C12" s="31"/>
      <c r="D12" s="13"/>
      <c r="E12" s="14" t="s">
        <v>9</v>
      </c>
    </row>
    <row r="13" spans="1:8" ht="19.95" customHeight="1" x14ac:dyDescent="0.25">
      <c r="A13" s="1">
        <v>9</v>
      </c>
      <c r="B13" s="2"/>
      <c r="C13" s="28" t="s">
        <v>251</v>
      </c>
      <c r="D13" s="4" t="s">
        <v>23</v>
      </c>
      <c r="E13" s="5">
        <f t="shared" ref="E13:E18" si="0">IF(D13="No",5,0)</f>
        <v>5</v>
      </c>
    </row>
    <row r="14" spans="1:8" ht="19.95" customHeight="1" x14ac:dyDescent="0.25">
      <c r="A14" s="1">
        <v>10</v>
      </c>
      <c r="C14" s="30" t="s">
        <v>253</v>
      </c>
      <c r="D14" s="4" t="s">
        <v>23</v>
      </c>
      <c r="E14" s="5">
        <f t="shared" si="0"/>
        <v>5</v>
      </c>
    </row>
    <row r="15" spans="1:8" ht="19.95" customHeight="1" x14ac:dyDescent="0.25">
      <c r="A15" s="1">
        <v>11</v>
      </c>
      <c r="C15" s="30" t="s">
        <v>256</v>
      </c>
      <c r="D15" s="4" t="s">
        <v>23</v>
      </c>
      <c r="E15" s="5">
        <f t="shared" si="0"/>
        <v>5</v>
      </c>
    </row>
    <row r="16" spans="1:8" ht="19.95" customHeight="1" x14ac:dyDescent="0.25">
      <c r="A16" s="1">
        <v>12</v>
      </c>
      <c r="C16" s="30" t="s">
        <v>257</v>
      </c>
      <c r="D16" s="4" t="s">
        <v>23</v>
      </c>
      <c r="E16" s="5">
        <f t="shared" si="0"/>
        <v>5</v>
      </c>
    </row>
    <row r="17" spans="1:8" ht="19.95" customHeight="1" x14ac:dyDescent="0.25">
      <c r="A17" s="1">
        <v>13</v>
      </c>
      <c r="C17" s="30" t="s">
        <v>295</v>
      </c>
      <c r="D17" s="4" t="s">
        <v>23</v>
      </c>
      <c r="E17" s="5">
        <f t="shared" si="0"/>
        <v>5</v>
      </c>
    </row>
    <row r="18" spans="1:8" ht="19.95" customHeight="1" x14ac:dyDescent="0.25">
      <c r="A18" s="1">
        <v>14</v>
      </c>
      <c r="C18" s="30" t="s">
        <v>252</v>
      </c>
      <c r="D18" s="4" t="s">
        <v>23</v>
      </c>
      <c r="E18" s="5">
        <f t="shared" si="0"/>
        <v>5</v>
      </c>
    </row>
    <row r="19" spans="1:8" ht="30" customHeight="1" x14ac:dyDescent="0.25">
      <c r="A19" s="15"/>
      <c r="B19" s="15" t="s">
        <v>156</v>
      </c>
      <c r="C19" s="31"/>
      <c r="D19" s="13"/>
      <c r="E19" s="14" t="s">
        <v>9</v>
      </c>
      <c r="G19" s="40" t="s">
        <v>2</v>
      </c>
      <c r="H19" s="3" t="s">
        <v>239</v>
      </c>
    </row>
    <row r="20" spans="1:8" ht="19.95" customHeight="1" x14ac:dyDescent="0.25">
      <c r="A20" s="1">
        <v>15</v>
      </c>
      <c r="C20" s="39" t="s">
        <v>232</v>
      </c>
      <c r="D20" s="41" t="s">
        <v>231</v>
      </c>
      <c r="E20" s="5">
        <f>IF(D20="A",50,IF(D20="B",40,IF(D20="C",0,0)))</f>
        <v>50</v>
      </c>
      <c r="G20" s="40" t="s">
        <v>224</v>
      </c>
      <c r="H20" s="2" t="str">
        <f>+ReportCard!C4</f>
        <v>A</v>
      </c>
    </row>
    <row r="21" spans="1:8" ht="19.95" customHeight="1" x14ac:dyDescent="0.25">
      <c r="A21" s="1">
        <v>16</v>
      </c>
      <c r="C21" s="28" t="s">
        <v>234</v>
      </c>
      <c r="D21" s="41" t="s">
        <v>231</v>
      </c>
      <c r="E21" s="5">
        <f>IF(D21="A",50,IF(D21="B",40,IF(D21="C",0,0)))</f>
        <v>50</v>
      </c>
      <c r="G21" s="40" t="s">
        <v>225</v>
      </c>
      <c r="H21" s="2" t="str">
        <f>+ReportCard!C5</f>
        <v>A</v>
      </c>
    </row>
    <row r="22" spans="1:8" ht="19.95" customHeight="1" x14ac:dyDescent="0.25">
      <c r="A22" s="1">
        <v>17</v>
      </c>
      <c r="C22" s="30" t="s">
        <v>233</v>
      </c>
      <c r="D22" s="4" t="s">
        <v>231</v>
      </c>
      <c r="E22" s="5">
        <f>IF(D22="A",50,IF(D22="B",40,IF(D22="C",0,0)))</f>
        <v>50</v>
      </c>
      <c r="G22" s="40" t="s">
        <v>226</v>
      </c>
      <c r="H22" s="2" t="str">
        <f>+ReportCard!C6</f>
        <v>A</v>
      </c>
    </row>
    <row r="23" spans="1:8" ht="19.95" customHeight="1" x14ac:dyDescent="0.25">
      <c r="A23" s="1">
        <v>18</v>
      </c>
      <c r="C23" s="30" t="s">
        <v>235</v>
      </c>
      <c r="D23" s="4" t="s">
        <v>231</v>
      </c>
      <c r="E23" s="5">
        <f>IF(D23="A",50,IF(D23="B",40,IF(D23="C",0,0)))</f>
        <v>50</v>
      </c>
      <c r="G23" s="40" t="s">
        <v>227</v>
      </c>
      <c r="H23" s="2" t="str">
        <f>+ReportCard!C7</f>
        <v>A</v>
      </c>
    </row>
    <row r="24" spans="1:8" ht="19.95" customHeight="1" x14ac:dyDescent="0.25">
      <c r="A24" s="1">
        <v>19</v>
      </c>
      <c r="C24" s="30" t="s">
        <v>236</v>
      </c>
      <c r="D24" s="4" t="s">
        <v>231</v>
      </c>
      <c r="E24" s="5">
        <f>IF(D24="A",50,IF(D24="B",40,IF(D24="C",0,0)))</f>
        <v>50</v>
      </c>
      <c r="G24" s="40" t="s">
        <v>228</v>
      </c>
      <c r="H24" s="2" t="str">
        <f>+ReportCard!C8</f>
        <v>A</v>
      </c>
    </row>
    <row r="25" spans="1:8" ht="19.95" customHeight="1" x14ac:dyDescent="0.25">
      <c r="A25" s="1">
        <v>20</v>
      </c>
      <c r="C25" s="30" t="s">
        <v>237</v>
      </c>
      <c r="D25" s="4" t="s">
        <v>231</v>
      </c>
      <c r="E25" s="5">
        <f t="shared" ref="E25:E26" si="1">IF(D25="A",50,IF(D25="B",40,IF(D25="C",0,0)))</f>
        <v>50</v>
      </c>
      <c r="G25" s="40" t="s">
        <v>230</v>
      </c>
      <c r="H25" s="2" t="str">
        <f>+ReportCard!C9</f>
        <v>A</v>
      </c>
    </row>
    <row r="26" spans="1:8" ht="19.95" customHeight="1" x14ac:dyDescent="0.25">
      <c r="A26" s="1">
        <v>21</v>
      </c>
      <c r="C26" s="30" t="s">
        <v>255</v>
      </c>
      <c r="D26" s="4" t="s">
        <v>231</v>
      </c>
      <c r="E26" s="5">
        <f t="shared" si="1"/>
        <v>50</v>
      </c>
      <c r="G26" s="40" t="s">
        <v>254</v>
      </c>
      <c r="H26" s="2" t="str">
        <f>+ReportCard!C10</f>
        <v>A</v>
      </c>
    </row>
    <row r="27" spans="1:8" ht="17.399999999999999" x14ac:dyDescent="0.3">
      <c r="A27" s="9"/>
      <c r="B27" s="9"/>
      <c r="C27" s="16"/>
      <c r="D27" s="19" t="s">
        <v>223</v>
      </c>
      <c r="E27" s="20">
        <f>SUM(E3:E26)</f>
        <v>776</v>
      </c>
    </row>
    <row r="28" spans="1:8" ht="17.399999999999999" x14ac:dyDescent="0.25">
      <c r="A28" s="9"/>
      <c r="B28" s="9"/>
      <c r="C28" s="16"/>
      <c r="D28" s="21" t="s">
        <v>52</v>
      </c>
      <c r="E28" s="22" t="str">
        <f>IF(E27&gt;=727,"A",IF(E27&gt;=689,"B",IF(E27&gt;=651,"C",IF(E27&lt;=612,"D"," Poor Sleep Health"))))</f>
        <v>A</v>
      </c>
    </row>
    <row r="30" spans="1:8" x14ac:dyDescent="0.25">
      <c r="D30" s="6"/>
      <c r="F30" s="6"/>
    </row>
    <row r="31" spans="1:8" x14ac:dyDescent="0.25">
      <c r="D31" s="6"/>
      <c r="F31" s="6"/>
    </row>
    <row r="32" spans="1:8" x14ac:dyDescent="0.25">
      <c r="D32" s="6"/>
      <c r="F32" s="6"/>
    </row>
    <row r="33" spans="4:6" x14ac:dyDescent="0.25">
      <c r="D33" s="6"/>
      <c r="F33" s="6"/>
    </row>
  </sheetData>
  <sheetProtection sheet="1" objects="1" scenarios="1"/>
  <conditionalFormatting sqref="E2:E28">
    <cfRule type="cellIs" dxfId="1" priority="1" operator="equal">
      <formula>0</formula>
    </cfRule>
  </conditionalFormatting>
  <conditionalFormatting sqref="E3:E26">
    <cfRule type="cellIs" dxfId="0" priority="2" operator="equal">
      <formula>0</formula>
    </cfRule>
  </conditionalFormatting>
  <dataValidations count="13">
    <dataValidation type="list" allowBlank="1" showInputMessage="1" showErrorMessage="1" prompt="Enter your grade from H31" sqref="D26" xr:uid="{6CDC8064-D082-47A0-81B0-2749C7AE43AF}">
      <formula1>"A,B,C,D"</formula1>
    </dataValidation>
    <dataValidation type="list" allowBlank="1" showInputMessage="1" showErrorMessage="1" prompt="Enter your grade from H30" sqref="D25" xr:uid="{C0472595-20E4-4842-B007-A9EF62638260}">
      <formula1>"A,B,C,D"</formula1>
    </dataValidation>
    <dataValidation type="list" allowBlank="1" showInputMessage="1" showErrorMessage="1" prompt="Enter your grade from H29" sqref="D24" xr:uid="{0747166C-FE78-4687-803B-F6620062F6C0}">
      <formula1>"A,B,C,D"</formula1>
    </dataValidation>
    <dataValidation type="list" allowBlank="1" showInputMessage="1" showErrorMessage="1" prompt="Enter your grade from H28" sqref="D23" xr:uid="{1E5E7127-A8F0-44AB-BF77-3EC82CA6EC87}">
      <formula1>"A,B,C,D"</formula1>
    </dataValidation>
    <dataValidation type="list" allowBlank="1" showInputMessage="1" showErrorMessage="1" prompt="Enter our grade from H27_x000a_" sqref="D22" xr:uid="{FFC27858-40C5-40EC-BE30-7025C1B97C0A}">
      <formula1>"A,B,C,D"</formula1>
    </dataValidation>
    <dataValidation type="list" allowBlank="1" showInputMessage="1" showErrorMessage="1" prompt="Enter your grade from H26" sqref="D21" xr:uid="{9DBDB79C-2206-4FCE-9056-7B3E6647823E}">
      <formula1>"A,B,C,D"</formula1>
    </dataValidation>
    <dataValidation type="list" allowBlank="1" showInputMessage="1" showErrorMessage="1" prompt="Enter your grade from H25" sqref="D20" xr:uid="{EB606A98-3DF7-43E5-8300-D0961E6AF994}">
      <formula1>"A,B,C,D"</formula1>
    </dataValidation>
    <dataValidation type="list" allowBlank="1" showInputMessage="1" showErrorMessage="1" sqref="D8 D3:D5 D13:D18" xr:uid="{8764B595-76D9-45C9-AB9B-CECA4C165D26}">
      <formula1>"No,Yes"</formula1>
    </dataValidation>
    <dataValidation type="list" allowBlank="1" showInputMessage="1" showErrorMessage="1" sqref="D7" xr:uid="{75D1920A-6249-4BD8-AA26-2F6F084A52AE}">
      <formula1>"7–9 hrs,6–7 or 9–10 hrs,&lt;6 or &gt;10 hrs"</formula1>
    </dataValidation>
    <dataValidation type="list" allowBlank="1" showInputMessage="1" showErrorMessage="1" sqref="D6 D12 D19" xr:uid="{C1F44C87-C686-4FF0-A201-CD787313B873}">
      <formula1>"Never,Sometimes,Often"</formula1>
    </dataValidation>
    <dataValidation type="list" allowBlank="1" showInputMessage="1" showErrorMessage="1" sqref="D9" xr:uid="{2669D965-FBD9-41B1-B26B-30FB8E99EE92}">
      <formula1>"I don’t vape or smoke,1 pack – 2 ml, 2 packs – 4 ml"</formula1>
    </dataValidation>
    <dataValidation type="list" allowBlank="1" showInputMessage="1" showErrorMessage="1" sqref="D10" xr:uid="{747342B3-E70E-49FC-A3D4-C53136E89256}">
      <formula1>"I don't smoke,Immediately,&lt;1 hour,2 or more hours"</formula1>
    </dataValidation>
    <dataValidation type="list" allowBlank="1" showInputMessage="1" showErrorMessage="1" sqref="D11" xr:uid="{8970F54D-9899-4C60-9954-20F78E1DAD43}">
      <formula1>"I don't smoke,&lt;1 hour,2-3 hours,4-5hours,6+hours"</formula1>
    </dataValidation>
  </dataValidations>
  <hyperlinks>
    <hyperlink ref="G1" location="ReportCard!A1" display="Go to Report Card" xr:uid="{A955D547-5A59-41D9-B986-5C42ED702B5C}"/>
  </hyperlinks>
  <pageMargins left="0.75" right="0.75" top="1" bottom="1" header="0.5" footer="0.5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ReportCard</vt:lpstr>
      <vt:lpstr>SleepFactorEval</vt:lpstr>
      <vt:lpstr>DietFactorEval</vt:lpstr>
      <vt:lpstr>ExerciseFactorEval</vt:lpstr>
      <vt:lpstr>LipidsFactorEval</vt:lpstr>
      <vt:lpstr>GlucoseFactorEval</vt:lpstr>
      <vt:lpstr>BloodPressureFactorEval</vt:lpstr>
      <vt:lpstr>BodyCompositionFactorEval</vt:lpstr>
      <vt:lpstr>NicotineFactorEval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weiler</dc:creator>
  <cp:lastModifiedBy>Weiler, Andrew</cp:lastModifiedBy>
  <dcterms:created xsi:type="dcterms:W3CDTF">2025-07-18T10:23:34Z</dcterms:created>
  <dcterms:modified xsi:type="dcterms:W3CDTF">2025-07-28T02:50:40Z</dcterms:modified>
</cp:coreProperties>
</file>